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Plnění k 31.12.2015" sheetId="1" r:id="rId1"/>
  </sheets>
  <definedNames>
    <definedName name="_xlnm.Print_Titles" localSheetId="0">'Plnění k 31.12.2015'!$14:$15</definedName>
    <definedName name="_xlnm.Print_Area" localSheetId="0">'Plnění k 31.12.2015'!$A$1:$K$1061</definedName>
  </definedNames>
  <calcPr fullCalcOnLoad="1"/>
</workbook>
</file>

<file path=xl/comments1.xml><?xml version="1.0" encoding="utf-8"?>
<comments xmlns="http://schemas.openxmlformats.org/spreadsheetml/2006/main">
  <authors>
    <author>Miroslav Nov?k</author>
    <author>jana.panochova</author>
    <author>mnovak</author>
    <author>Jana Panochov?</author>
  </authors>
  <commentList>
    <comment ref="J129" authorId="0">
      <text>
        <r>
          <rPr>
            <sz val="9"/>
            <rFont val="Tahoma"/>
            <family val="2"/>
          </rPr>
          <t>neinvest.výdaj pro přestup.terminál orj. 516, neuznatelný výdaj mimo akci</t>
        </r>
      </text>
    </comment>
    <comment ref="G166" authorId="1">
      <text>
        <r>
          <rPr>
            <sz val="9"/>
            <rFont val="Tahoma"/>
            <family val="2"/>
          </rPr>
          <t>Realizace? pozemek</t>
        </r>
      </text>
    </comment>
    <comment ref="G198" authorId="1">
      <text>
        <r>
          <rPr>
            <sz val="9"/>
            <rFont val="Tahoma"/>
            <family val="2"/>
          </rPr>
          <t>nevstupuje do ocenění majetku na účtech 021a031, účtujeme na 029 - ost. Dlouhod. majetek</t>
        </r>
      </text>
    </comment>
    <comment ref="G206" authorId="1">
      <text>
        <r>
          <rPr>
            <sz val="9"/>
            <rFont val="Tahoma"/>
            <family val="2"/>
          </rPr>
          <t>pokud nebudou peníze, nemusí se dělat</t>
        </r>
      </text>
    </comment>
    <comment ref="G207" authorId="1">
      <text>
        <r>
          <rPr>
            <sz val="9"/>
            <rFont val="Tahoma"/>
            <family val="2"/>
          </rPr>
          <t>O akci ví pan starosta,
investice neví realizaci ani rozpočet.</t>
        </r>
        <r>
          <rPr>
            <b/>
            <sz val="9"/>
            <rFont val="Tahoma"/>
            <family val="2"/>
          </rPr>
          <t xml:space="preserve"> </t>
        </r>
      </text>
    </comment>
    <comment ref="H259" authorId="2">
      <text>
        <r>
          <rPr>
            <sz val="9"/>
            <rFont val="Tahoma"/>
            <family val="2"/>
          </rPr>
          <t>lapoly, klimatizace, topení</t>
        </r>
      </text>
    </comment>
    <comment ref="G289" authorId="1">
      <text>
        <r>
          <rPr>
            <sz val="9"/>
            <rFont val="Tahoma"/>
            <family val="2"/>
          </rPr>
          <t>Od 1.7.2014 pod 3613 orj. 0216</t>
        </r>
      </text>
    </comment>
    <comment ref="H336" authorId="0">
      <text>
        <r>
          <rPr>
            <b/>
            <sz val="9"/>
            <rFont val="Tahoma"/>
            <family val="2"/>
          </rPr>
          <t>FRM</t>
        </r>
      </text>
    </comment>
    <comment ref="H420" authorId="2">
      <text>
        <r>
          <rPr>
            <sz val="9"/>
            <rFont val="Tahoma"/>
            <family val="2"/>
          </rPr>
          <t xml:space="preserve">Pohořelice 40 tis., Nová Ves 30 tis., </t>
        </r>
      </text>
    </comment>
    <comment ref="G466" authorId="1">
      <text>
        <r>
          <rPr>
            <sz val="9"/>
            <rFont val="Tahoma"/>
            <family val="2"/>
          </rPr>
          <t>Schváleno ZM 7/VII/15</t>
        </r>
      </text>
    </comment>
    <comment ref="H531" authorId="0">
      <text>
        <r>
          <rPr>
            <b/>
            <sz val="9"/>
            <rFont val="Tahoma"/>
            <family val="2"/>
          </rPr>
          <t xml:space="preserve">FRM
</t>
        </r>
        <r>
          <rPr>
            <sz val="9"/>
            <rFont val="Tahoma"/>
            <family val="2"/>
          </rPr>
          <t>(orj. 0546 a 0565)</t>
        </r>
      </text>
    </comment>
    <comment ref="A547" authorId="1">
      <text>
        <r>
          <rPr>
            <sz val="9"/>
            <rFont val="Tahoma"/>
            <family val="2"/>
          </rPr>
          <t>IV. vlna privatizace a byt č. 1098/15</t>
        </r>
      </text>
    </comment>
    <comment ref="H559" authorId="0">
      <text>
        <r>
          <rPr>
            <sz val="9"/>
            <rFont val="Tahoma"/>
            <family val="2"/>
          </rPr>
          <t>III. a IV. vlna privat.</t>
        </r>
      </text>
    </comment>
    <comment ref="G561" authorId="1">
      <text>
        <r>
          <rPr>
            <sz val="9"/>
            <rFont val="Tahoma"/>
            <family val="2"/>
          </rPr>
          <t>účet 236 0141</t>
        </r>
      </text>
    </comment>
    <comment ref="G599" authorId="1">
      <text>
        <r>
          <rPr>
            <sz val="9"/>
            <rFont val="Tahoma"/>
            <family val="2"/>
          </rPr>
          <t>úhrada FAP 1607</t>
        </r>
      </text>
    </comment>
    <comment ref="H723" authorId="0">
      <text>
        <r>
          <rPr>
            <sz val="9"/>
            <rFont val="Tahoma"/>
            <family val="2"/>
          </rPr>
          <t>MS Pohoř. 17 tis., MS Smolín 10 tis.</t>
        </r>
      </text>
    </comment>
    <comment ref="H724" authorId="0">
      <text>
        <r>
          <rPr>
            <sz val="9"/>
            <rFont val="Tahoma"/>
            <family val="2"/>
          </rPr>
          <t>MS Pohoř. 17 tis., MS Smolín 10 tis.</t>
        </r>
      </text>
    </comment>
    <comment ref="H874" authorId="2">
      <text>
        <r>
          <rPr>
            <sz val="9"/>
            <rFont val="Tahoma"/>
            <family val="2"/>
          </rPr>
          <t>malé garáže od žid. hřbitova</t>
        </r>
      </text>
    </comment>
    <comment ref="D890" authorId="1">
      <text>
        <r>
          <rPr>
            <sz val="9"/>
            <rFont val="Tahoma"/>
            <family val="2"/>
          </rPr>
          <t>částka se mění během roku nedorovnávat!!!</t>
        </r>
      </text>
    </comment>
    <comment ref="G976" authorId="1">
      <text>
        <r>
          <rPr>
            <sz val="9"/>
            <rFont val="Tahoma"/>
            <family val="2"/>
          </rPr>
          <t>účet 236 0100</t>
        </r>
      </text>
    </comment>
    <comment ref="G978" authorId="1">
      <text>
        <r>
          <rPr>
            <sz val="9"/>
            <rFont val="Tahoma"/>
            <family val="2"/>
          </rPr>
          <t>účet 236 0100 penzijní připojištění</t>
        </r>
      </text>
    </comment>
    <comment ref="G979" authorId="1">
      <text>
        <r>
          <rPr>
            <sz val="9"/>
            <rFont val="Tahoma"/>
            <family val="2"/>
          </rPr>
          <t>účet 236 0100</t>
        </r>
      </text>
    </comment>
    <comment ref="G980" authorId="1">
      <text>
        <r>
          <rPr>
            <sz val="9"/>
            <rFont val="Tahoma"/>
            <family val="2"/>
          </rPr>
          <t>účet 236 0100</t>
        </r>
      </text>
    </comment>
    <comment ref="A1001" authorId="1">
      <text>
        <r>
          <rPr>
            <b/>
            <sz val="9"/>
            <rFont val="Tahoma"/>
            <family val="2"/>
          </rPr>
          <t>jana.panochova:</t>
        </r>
        <r>
          <rPr>
            <sz val="9"/>
            <rFont val="Tahoma"/>
            <family val="2"/>
          </rPr>
          <t xml:space="preserve">
2310040 2310070 2310090 2310200  (231)</t>
        </r>
      </text>
    </comment>
    <comment ref="A1002" authorId="1">
      <text>
        <r>
          <rPr>
            <sz val="9"/>
            <rFont val="Tahoma"/>
            <family val="2"/>
          </rPr>
          <t>2360120</t>
        </r>
      </text>
    </comment>
    <comment ref="A1003" authorId="1">
      <text>
        <r>
          <rPr>
            <sz val="9"/>
            <rFont val="Tahoma"/>
            <family val="2"/>
          </rPr>
          <t>2360141</t>
        </r>
      </text>
    </comment>
    <comment ref="B1013" authorId="0">
      <text>
        <r>
          <rPr>
            <sz val="9"/>
            <rFont val="Tahoma"/>
            <family val="2"/>
          </rPr>
          <t>částka je v příjmech i výdajích ve stejné výši (mezibankovní převody na účtech města)</t>
        </r>
      </text>
    </comment>
    <comment ref="G1025" authorId="1">
      <text>
        <r>
          <rPr>
            <sz val="9"/>
            <rFont val="Tahoma"/>
            <family val="2"/>
          </rPr>
          <t>účet 231 0200</t>
        </r>
      </text>
    </comment>
    <comment ref="H1039" authorId="0">
      <text>
        <r>
          <rPr>
            <sz val="9"/>
            <rFont val="Tahoma"/>
            <family val="2"/>
          </rPr>
          <t>zůstatky na účtech</t>
        </r>
      </text>
    </comment>
    <comment ref="A1045" authorId="3">
      <text>
        <r>
          <rPr>
            <b/>
            <sz val="9"/>
            <rFont val="Tahoma"/>
            <family val="2"/>
          </rPr>
          <t>451 0150
231 0200
250 000,- Kč</t>
        </r>
      </text>
    </comment>
    <comment ref="A1046" authorId="3">
      <text>
        <r>
          <rPr>
            <b/>
            <sz val="9"/>
            <rFont val="Tahoma"/>
            <family val="2"/>
          </rPr>
          <t>451 0170 
231 0070
94.200,-Kč</t>
        </r>
      </text>
    </comment>
    <comment ref="A1047" authorId="3">
      <text>
        <r>
          <rPr>
            <b/>
            <sz val="9"/>
            <rFont val="Tahoma"/>
            <family val="2"/>
          </rPr>
          <t xml:space="preserve">451 0240 
231 0200
42 250,- Kč
</t>
        </r>
      </text>
    </comment>
    <comment ref="A1048" authorId="3">
      <text>
        <r>
          <rPr>
            <b/>
            <sz val="9"/>
            <rFont val="Tahoma"/>
            <family val="2"/>
          </rPr>
          <t>231 0040
451 0260
49 000,- Kč</t>
        </r>
      </text>
    </comment>
    <comment ref="A1049" authorId="3">
      <text>
        <r>
          <rPr>
            <b/>
            <sz val="9"/>
            <rFont val="Tahoma"/>
            <family val="2"/>
          </rPr>
          <t>451 0280
231 0300
splátky dle přijatých dotací</t>
        </r>
      </text>
    </comment>
    <comment ref="A1050" authorId="3">
      <text>
        <r>
          <rPr>
            <b/>
            <sz val="9"/>
            <rFont val="Tahoma"/>
            <family val="2"/>
          </rPr>
          <t>451 0290
231 
splátky dle přijatých dotací</t>
        </r>
      </text>
    </comment>
    <comment ref="G1050" authorId="1">
      <text>
        <r>
          <rPr>
            <sz val="9"/>
            <rFont val="Tahoma"/>
            <family val="2"/>
          </rPr>
          <t>splátka 42.250,-Kč</t>
        </r>
      </text>
    </comment>
    <comment ref="H1050" authorId="0">
      <text>
        <r>
          <rPr>
            <sz val="9"/>
            <rFont val="Tahoma"/>
            <family val="2"/>
          </rPr>
          <t>splátky úvěrů, viz příloha č. 4a a 4b</t>
        </r>
      </text>
    </comment>
    <comment ref="G1051" authorId="1">
      <text>
        <r>
          <rPr>
            <sz val="9"/>
            <rFont val="Tahoma"/>
            <family val="2"/>
          </rPr>
          <t>splátka 250.000,-Kč</t>
        </r>
      </text>
    </comment>
    <comment ref="G1052" authorId="1">
      <text>
        <r>
          <rPr>
            <sz val="9"/>
            <rFont val="Tahoma"/>
            <family val="2"/>
          </rPr>
          <t>splátka 349.000,-Kč</t>
        </r>
      </text>
    </comment>
    <comment ref="G1053" authorId="1">
      <text>
        <r>
          <rPr>
            <sz val="9"/>
            <rFont val="Tahoma"/>
            <family val="2"/>
          </rPr>
          <t>splátka 94.200,-Kč</t>
        </r>
      </text>
    </comment>
    <comment ref="J130" authorId="0">
      <text>
        <r>
          <rPr>
            <sz val="9"/>
            <rFont val="Tahoma"/>
            <family val="2"/>
          </rPr>
          <t>neinvest.výdaj pro přestup.terminál orj. 516, neuznatelný výdaj mimo akci</t>
        </r>
      </text>
    </comment>
    <comment ref="B658" authorId="0">
      <text>
        <r>
          <rPr>
            <sz val="9"/>
            <rFont val="Tahoma"/>
            <family val="2"/>
          </rPr>
          <t>IV. vlna privatizace</t>
        </r>
      </text>
    </comment>
    <comment ref="J1028" authorId="1">
      <text>
        <r>
          <rPr>
            <sz val="9"/>
            <rFont val="Tahoma"/>
            <family val="2"/>
          </rPr>
          <t>vrácení mylné platby</t>
        </r>
      </text>
    </comment>
    <comment ref="G1026" authorId="1">
      <text>
        <r>
          <rPr>
            <sz val="9"/>
            <rFont val="Tahoma"/>
            <family val="2"/>
          </rPr>
          <t>účet 231 0040</t>
        </r>
      </text>
    </comment>
  </commentList>
</comments>
</file>

<file path=xl/sharedStrings.xml><?xml version="1.0" encoding="utf-8"?>
<sst xmlns="http://schemas.openxmlformats.org/spreadsheetml/2006/main" count="1180" uniqueCount="1117">
  <si>
    <t>Rozpočet města Pohořelice na rok 2015 (v Kč)</t>
  </si>
  <si>
    <r>
      <t>Závazné ukazatele (</t>
    </r>
    <r>
      <rPr>
        <b/>
        <sz val="10"/>
        <rFont val="Arial CE"/>
        <family val="2"/>
      </rPr>
      <t>tučným písmem</t>
    </r>
    <r>
      <rPr>
        <sz val="10"/>
        <rFont val="Arial CE"/>
        <family val="2"/>
      </rPr>
      <t>) - příjmy (</t>
    </r>
    <r>
      <rPr>
        <b/>
        <sz val="10"/>
        <rFont val="Arial CE"/>
        <family val="2"/>
      </rPr>
      <t>položky a paragrafy</t>
    </r>
    <r>
      <rPr>
        <sz val="10"/>
        <rFont val="Arial CE"/>
        <family val="2"/>
      </rPr>
      <t>); výdaje (</t>
    </r>
    <r>
      <rPr>
        <b/>
        <sz val="10"/>
        <rFont val="Arial CE"/>
        <family val="2"/>
      </rPr>
      <t>paragrafy</t>
    </r>
    <r>
      <rPr>
        <sz val="10"/>
        <rFont val="Arial CE"/>
        <family val="2"/>
      </rPr>
      <t>)</t>
    </r>
  </si>
  <si>
    <t>Rozpočet ze dne 16.2.2015 - schváleno ZM dne 25.2.2015</t>
  </si>
  <si>
    <t>Rozpočet upravený - RO č. 9 - schváleno RM dne 26.08.2015</t>
  </si>
  <si>
    <t>Rozpočet upravený - RO č. 1 - provedeno správcem rozpočtu 1.3.2015</t>
  </si>
  <si>
    <t>Rozpočet upravený - RO č.10 - provedeno správcem rozpočtu dne 31.08.2015</t>
  </si>
  <si>
    <t>Rozpočet upravený - RO č. 2 - schváleno ZM dne 13.05.2015</t>
  </si>
  <si>
    <t>Rozpočet upravený - RO č. 11 - schváleno ZM dne 16.09.2015</t>
  </si>
  <si>
    <t>Rozpočet upravený - RO č. 3 - provedeno správcem rozpočtu 29.5.2015</t>
  </si>
  <si>
    <t>Rozpočet upravený - RO č. 12 - provedeno správcem rozpočtu 17.09.20215</t>
  </si>
  <si>
    <t>Rozpočet upravený - RO č. 4 - schváleno ZM dne 24.6.2015</t>
  </si>
  <si>
    <t>Rozpočet upravený - RO č. 13 - schváleno RM dne 30.09.2015</t>
  </si>
  <si>
    <t>Rozpočet upravený - RO č. 5 - provedeno správcem rozpočtu 30.6.2015</t>
  </si>
  <si>
    <t>Rozpočet upravený - RO č. 14 - schváleno RM dne 14.10.2015</t>
  </si>
  <si>
    <t>Rozpočet upravený - RO č. 6 - schváleno RM dne 15.07.2015</t>
  </si>
  <si>
    <t>Rozpočet upravený - RO č. 15 - provedeno správcem rozpočtu 15.10.2015</t>
  </si>
  <si>
    <t>Rozpočet upravený - RO č. 7 - provedeno správcem rozpočtu 21.07.2015</t>
  </si>
  <si>
    <t>Rozpočet upravený - RO č. 16 - schváleno ZM dne 18.11.2015</t>
  </si>
  <si>
    <t>Rozpočet upravený - RO č. 8 - schváleno RM dne 05.08.2015</t>
  </si>
  <si>
    <t>Rozpočet upravený - RO č. 17 - provedeno správcem rozpočtu 19.11.2015</t>
  </si>
  <si>
    <t xml:space="preserve"> </t>
  </si>
  <si>
    <t>Rozpočet r. 2015</t>
  </si>
  <si>
    <t>Příjmy</t>
  </si>
  <si>
    <t>SCHVÁLENO</t>
  </si>
  <si>
    <t>UPRAVENÝ</t>
  </si>
  <si>
    <t>v %</t>
  </si>
  <si>
    <t>Ř.č.</t>
  </si>
  <si>
    <t>Výdaje</t>
  </si>
  <si>
    <t>SCHVÁLENÝ</t>
  </si>
  <si>
    <t>1111 Daň z příjmů fyz.osob ze záv.činnosti</t>
  </si>
  <si>
    <t>1112 Daň z příjmů fyz.osob ze sam.výd.čin.</t>
  </si>
  <si>
    <t>1113 Daň z příjmů fyz.osob z kap.majetku</t>
  </si>
  <si>
    <t>1121 Daň z příjmů práv.osob</t>
  </si>
  <si>
    <t>1122 Daň z příjmů práv.osob (město)</t>
  </si>
  <si>
    <t>1211 Daň z přidané hodnoty (DPH)</t>
  </si>
  <si>
    <t>1332 Popl. za znečišťování ovzduší</t>
  </si>
  <si>
    <t>1334 Odvody za odnětí půdy ze (ZPF)</t>
  </si>
  <si>
    <t>1335 Poplatky za odnětí lesní půdy (PUPFL)</t>
  </si>
  <si>
    <t>1340 Poplatek za likvidaci komunálního odpadu dle OZV</t>
  </si>
  <si>
    <t>1341 Poplatek ze psů dle OZV</t>
  </si>
  <si>
    <t>1343 Poplatek za užívání veřej.prostranství dle OZV Orj. 0300</t>
  </si>
  <si>
    <t>1344 Poplatek ze vstupného dle OZV</t>
  </si>
  <si>
    <t>1345 Poplatek z ubytovací kapacity dle OZV</t>
  </si>
  <si>
    <t>1351 Odvod z loterií a podobných her kromě z VHP</t>
  </si>
  <si>
    <t>1353 Příjmy ze zkoušek prováděných zkušebním komisařem Orj. 0706</t>
  </si>
  <si>
    <t>1355 Odvody z výherních hracích přístrojů nově od 1.4.2012</t>
  </si>
  <si>
    <t>1359 Poplatky za autovraky-odvádí se SFŽP-nerozpočtuje se</t>
  </si>
  <si>
    <t>1361 Správní poplatky</t>
  </si>
  <si>
    <t>1511 Daň z nemovitostí</t>
  </si>
  <si>
    <t>2460 Splátky půjček od zaměstnanců-Soc. fond (SF) 236 0100</t>
  </si>
  <si>
    <t>2460 Splátky půjček od obyvatelstva FRB 236 0120</t>
  </si>
  <si>
    <t>4112 Neinv.přij.dot.-souhr.dotační vztah se státním rozpočtem</t>
  </si>
  <si>
    <t>4113 Neinv.-Regenerace městského parku-ÚZ90001 Np0531 Orj.0355</t>
  </si>
  <si>
    <t>4113 Neinv.-Nový biokoridor-p.č. 6073-ÚZ90001 Np0531 Orj0482</t>
  </si>
  <si>
    <t>4113 Nein.-Revitalizace vybraných ploch zeleně - ÚZ90001 Np 0531 Orj.0506</t>
  </si>
  <si>
    <t>4113 Nein.-Realizace vybraných ploch zeleně - ÚZ90001 Np 0531 Orj.0507</t>
  </si>
  <si>
    <t>4113 Nein.-Realizace vybraných ploch zeleně - ÚZ90001 Np 0531 Orj.0514</t>
  </si>
  <si>
    <t>4113 Neinv.-Dig.povodňový plán ORP Pohoř.-ÚZ90001 Np0541 orj.510</t>
  </si>
  <si>
    <t>4116 Ostatní neinv. přijaté dotace (od ministerstev)</t>
  </si>
  <si>
    <t xml:space="preserve">       - ÚZ 13011 - Dotace SPOD na rok 2015</t>
  </si>
  <si>
    <t xml:space="preserve">       - ÚZ 13015 - Dotace MPSV na výkon soc. práce</t>
  </si>
  <si>
    <t xml:space="preserve">       - ÚZ 13101 - Příspěvek od Úřadu Práce na VPP</t>
  </si>
  <si>
    <t xml:space="preserve">       - ÚZ 13233 - Standardizace OSPOD 15% - Np0331 Orj0360</t>
  </si>
  <si>
    <t xml:space="preserve">       - ÚZ 13233 - Standardizace OSPOD 85% - Np0335 Orj0360</t>
  </si>
  <si>
    <t xml:space="preserve">       - ÚZ 13234 - Příspěvek od Úřadu práce na VPP -15% Np0331</t>
  </si>
  <si>
    <t xml:space="preserve">       - ÚZ 13234 - Příspěvek od Úřadu práce na VPP - ESF-85%Np0335</t>
  </si>
  <si>
    <t xml:space="preserve">       - ÚZ 15309-Dig.povodňový plánORP Pohoř.Np 0545  orj 0510</t>
  </si>
  <si>
    <t xml:space="preserve">       - ÚZ 15319 - Regenerace městského parku NP 0535 orj. 0355</t>
  </si>
  <si>
    <t xml:space="preserve">       - ÚZ 15319 - nový biokoridor-p.č. 6073 NP 0535 orj. 0482</t>
  </si>
  <si>
    <t xml:space="preserve">       - ÚZ 15319 - Revitalizace vybraných ploch zeleně - NP 0535 orj. 0506</t>
  </si>
  <si>
    <t xml:space="preserve">       - ÚZ 15319 - Revitalizace vybraných ploch zeleně - NP 0535 orj. 507</t>
  </si>
  <si>
    <t xml:space="preserve">       - ÚZ 15319 - Revitalizace vybraných ploch zeleně - NP 0535 orj. 0514</t>
  </si>
  <si>
    <t xml:space="preserve">       - ÚZ 17003 -Digitální úřad pro nové tisíciletí Np 0365 orj.0224</t>
  </si>
  <si>
    <t xml:space="preserve">       - ÚZ 27003 - Min.dopravy-zařízení pro scanování do reg.vozidel</t>
  </si>
  <si>
    <t xml:space="preserve">       - ÚZ 29004-neinv. MZČR-na výsadbu meliorač. a zpevňujících dřevin</t>
  </si>
  <si>
    <t xml:space="preserve">       - ÚZ 29008-neinv.MZČR-úhrada nákladů na činnost OLH</t>
  </si>
  <si>
    <t xml:space="preserve">       - ÚZ 33058 - MŠMT průtoková dotace ZŠ Np0321 Orj 0322</t>
  </si>
  <si>
    <t xml:space="preserve">       - ÚZ 33058 - MŠMT průtoková dotace ZŠ Np0321Orj 0327</t>
  </si>
  <si>
    <t xml:space="preserve">       - ÚZ 33058 - MŠMT průtoková dotace ZŠ Np0325 Orj 0322</t>
  </si>
  <si>
    <t xml:space="preserve">       - ÚZ 33058 - MŠMT průtoková dotace ZŠ Np0325Orj 0327</t>
  </si>
  <si>
    <t xml:space="preserve">       - ÚZ 33060 - MŠMT průtoková dotace ZŠ Orj 0326</t>
  </si>
  <si>
    <t>4121 Neinv.přij.dot. od obcí na žáky a veřejnoprávní smlouvy</t>
  </si>
  <si>
    <t>4122 Neinv.dot.JMK-Senioři Pohoř.2015  ÚZ00539 Orj.0473</t>
  </si>
  <si>
    <t>4213 Inv.dot.-Revital.vybran.ploch zeleně-Polní - ÚZ 90877 Np0531 Orj 0511</t>
  </si>
  <si>
    <t>4213 Inv. dotace biocentra - ÚZ 90877 Np0531 Orj 0515</t>
  </si>
  <si>
    <t>4213 Inv.dot .- Zateplení MŠ - ÚZ90877 Np 0541 orj.0310</t>
  </si>
  <si>
    <t>4213 Inv.dot .- Zateplení Sportovní haly - ÚZ90877 Np 0541 orj.0314</t>
  </si>
  <si>
    <t>4213 Inv.dot .- Zateplení sálu Radnice - ÚZ90877 Np 0541 orj.0365</t>
  </si>
  <si>
    <t>4213 Inv.dot . - Zatepení + vytápění kina   - ÚZ90877 Np 0541 orj.0366</t>
  </si>
  <si>
    <t>4213 Inv.dot . - Vytápění MÚ  - ÚZ90877 Np 0541 orj.0369</t>
  </si>
  <si>
    <t>4216 Inv.dot.-Revital. vybran.ploch zeleně-Polní - ÚZ 15827 Np0535 Orj 0511</t>
  </si>
  <si>
    <t>4216 Inv. dotace biocentra - ÚZ 15827 Np0535 Orj 0515</t>
  </si>
  <si>
    <t>4216 Inv.dotace-Zahrada MŠ veselé království - ÚZ 15828 Np 0531 Orj. 0320</t>
  </si>
  <si>
    <t>4216 Inv.dotace-Zahrada MŠ Veselé království - ÚZ 15829 Np 0535 Orj. 0320</t>
  </si>
  <si>
    <t>4216 Inv.dot .- Zateplení MŠ - ÚZ15835 Np 0545 orj.0310</t>
  </si>
  <si>
    <t>4216 Inv.dot .- Zateplení Sokolovny - ÚZ15835 Np 0545 orj.0311</t>
  </si>
  <si>
    <t>4216 Inv.dot. - Zateplení Sportovní haly - ÚZ15835 Np 0545 orj.0314</t>
  </si>
  <si>
    <t>4216 Inv.dot .- Zateplení sálu Radnice - ÚZ15835 Np 0545 orj.0365</t>
  </si>
  <si>
    <t>4216 Inv.dot . - Zateplení + vytápění kina   - ÚZ15835 Np 0545 orj.0366</t>
  </si>
  <si>
    <t>4216 Inv.dot . - Vytápění MÚ  - ÚZ15835 Np 0545 orj.0369</t>
  </si>
  <si>
    <t>4216 In.dotace - Digitální úřad pro nové tisíciletí ÚZ17871 Np 0365 orj.0224</t>
  </si>
  <si>
    <t>celkem</t>
  </si>
  <si>
    <t>1014 Útulek pro psy v Bulharech</t>
  </si>
  <si>
    <t>5021 Ostatní osobní výdaje-zajištění odchytu psů</t>
  </si>
  <si>
    <t>5139 Nákup materiálu (známky pro psy)</t>
  </si>
  <si>
    <t>5169 Péče o opuštěné psy nalezené na území města</t>
  </si>
  <si>
    <t>1036 Správa v lesním hospodářství-odbor.lesní hospodář</t>
  </si>
  <si>
    <r>
      <t>5169 Nákup ost.služeb-</t>
    </r>
    <r>
      <rPr>
        <b/>
        <sz val="10"/>
        <rFont val="Arial CE"/>
        <family val="0"/>
      </rPr>
      <t>ÚZ 29008</t>
    </r>
    <r>
      <rPr>
        <sz val="10"/>
        <rFont val="Arial CE"/>
        <family val="2"/>
      </rPr>
      <t xml:space="preserve"> - dotace </t>
    </r>
  </si>
  <si>
    <t>1037 Celospolečenské funkce lesů</t>
  </si>
  <si>
    <r>
      <t>5169 Dotace na výsadbu melior. a zpevňuj.dřevin-</t>
    </r>
    <r>
      <rPr>
        <b/>
        <sz val="10"/>
        <rFont val="Arial CE"/>
        <family val="0"/>
      </rPr>
      <t>ÚZ29004-dotace</t>
    </r>
  </si>
  <si>
    <t>1039 Ostatní záležitosti lesního hospodářství</t>
  </si>
  <si>
    <t>5134 Prádlo, oděv a obuv</t>
  </si>
  <si>
    <t>5137 Drobný hmotný dlouh.majetek (do 40 tis. Kč/ks)</t>
  </si>
  <si>
    <t>2119 Těžební průmysl-Obvod.báňský úřad, Mor.naft.doly</t>
  </si>
  <si>
    <t>5139 Nákup mat.-plomby na označ.zvěře,lovecké a ryb.lístky</t>
  </si>
  <si>
    <t xml:space="preserve">2343 Příjmy z úhrad dobývacího prostoru   </t>
  </si>
  <si>
    <t>5169 Nákup ost.služeb</t>
  </si>
  <si>
    <t>2143 Cestovní ruch</t>
  </si>
  <si>
    <t>2310 Příjmy z prodeje-propagačních materiálů</t>
  </si>
  <si>
    <t>5136 Knihy</t>
  </si>
  <si>
    <t>5139 Nákup materiálu (propagační materiály o městě)</t>
  </si>
  <si>
    <t>2144 Ostatní služby</t>
  </si>
  <si>
    <t>2111 Příjmy z poskytování služeb a výrobků (příjmy za reklamu)</t>
  </si>
  <si>
    <t>5173 Cestovné</t>
  </si>
  <si>
    <t>2131 Příjmy z pronájmu pozemků-umístění reklam.zařízení</t>
  </si>
  <si>
    <t>5175 Pohoštění</t>
  </si>
  <si>
    <t>2132 Příjmy z pronájmu ostatních nemovitostí</t>
  </si>
  <si>
    <t>2169 Ostatní správa v průmyslu,stavebnictví,obch.a službách</t>
  </si>
  <si>
    <t>2212 Přijaté sankční platby-uložené pokuty</t>
  </si>
  <si>
    <t>2212 Silnice</t>
  </si>
  <si>
    <t>2212 Komunikace (silnice)</t>
  </si>
  <si>
    <t>2131 Pronájem cesty ve Smolíně - Thermoservis-Transport</t>
  </si>
  <si>
    <t>5137 Věcné břemeno IDS</t>
  </si>
  <si>
    <t>2132 Příjmy z pronájmu ost.nem. - Selma</t>
  </si>
  <si>
    <t>5137 Nákup DHM do 40.000,-Kč - Vybavení zázemí pro cestující orj. 0577</t>
  </si>
  <si>
    <t>2132 Příjmy z pronájmu zázemí pro cestující  orj. 0537</t>
  </si>
  <si>
    <t>5139 Nákup materiálu</t>
  </si>
  <si>
    <t>5139 Nákup materiálu - Vybavení zázemí pro cestující orj. 0577</t>
  </si>
  <si>
    <t>5169 Nákup ost.služeb orj 0537</t>
  </si>
  <si>
    <t>5171 Opravy a udržování komunikací</t>
  </si>
  <si>
    <t xml:space="preserve">6121 Rozšíření park.ploch u MěÚ </t>
  </si>
  <si>
    <t>6121 Zastav.stud.-výjezd z Polní III.et.směr ar.SÚS-orj.223</t>
  </si>
  <si>
    <r>
      <t>6121 Průmyslová zóna-PD+real.úpravy výjezdu,</t>
    </r>
    <r>
      <rPr>
        <b/>
        <sz val="10"/>
        <rFont val="Arial CE"/>
        <family val="0"/>
      </rPr>
      <t>orj.332</t>
    </r>
  </si>
  <si>
    <t>6121 Řešení pěší a hromad.dopravy ul. Znojemská u růžovek orj. 363 (dotace)</t>
  </si>
  <si>
    <t>6121 Komunikace Tyršova - park, propojení PD - realizace 2015! orj 0377</t>
  </si>
  <si>
    <r>
      <t>6121 Parkovací plochy-ul.Vídeňská (coop+hřbitov,spořka-</t>
    </r>
    <r>
      <rPr>
        <b/>
        <sz val="10"/>
        <rFont val="Arial CE"/>
        <family val="0"/>
      </rPr>
      <t>orj.415 )</t>
    </r>
  </si>
  <si>
    <r>
      <t>6121 Parkovací plochy-bytový dům</t>
    </r>
    <r>
      <rPr>
        <b/>
        <sz val="10"/>
        <rFont val="Arial CE"/>
        <family val="0"/>
      </rPr>
      <t xml:space="preserve"> </t>
    </r>
    <r>
      <rPr>
        <sz val="11"/>
        <color theme="1"/>
        <rFont val="Calibri"/>
        <family val="2"/>
      </rPr>
      <t>Nám. Svobody 840-844 orj 502</t>
    </r>
  </si>
  <si>
    <r>
      <t xml:space="preserve">6121 PD-Přest.term.IDS-3.etapa ul. Lidická </t>
    </r>
    <r>
      <rPr>
        <b/>
        <sz val="10"/>
        <rFont val="Arial CE"/>
        <family val="0"/>
      </rPr>
      <t>orj. 0512</t>
    </r>
  </si>
  <si>
    <r>
      <t xml:space="preserve">6121 PD-Přestupní terminál IDS, </t>
    </r>
    <r>
      <rPr>
        <b/>
        <sz val="10"/>
        <rFont val="Arial CE"/>
        <family val="0"/>
      </rPr>
      <t>orj. 516-nezpůsobilé</t>
    </r>
  </si>
  <si>
    <r>
      <t>6121 PD-Přest.termin.IDS-zázemí pro cestující</t>
    </r>
    <r>
      <rPr>
        <b/>
        <sz val="10"/>
        <rFont val="Arial CE"/>
        <family val="0"/>
      </rPr>
      <t>,orj.537-nezpůsobilé</t>
    </r>
  </si>
  <si>
    <r>
      <t xml:space="preserve">6121 Parkovací plochy u zdravotního střediska </t>
    </r>
    <r>
      <rPr>
        <b/>
        <sz val="10"/>
        <rFont val="Arial CE"/>
        <family val="0"/>
      </rPr>
      <t>orj.554</t>
    </r>
  </si>
  <si>
    <t>6121 Okružní křižovatka u hotelu Morava-PD-orj.555</t>
  </si>
  <si>
    <t xml:space="preserve">6121 Rekontrukce komun.ul. Brněnská (BD č.p. 708,709,898),orj.556 </t>
  </si>
  <si>
    <t>6121 Rekontrukce komun.ul. Brněnská (BD č.p. 708,709,898),orj.556 FRM</t>
  </si>
  <si>
    <r>
      <t xml:space="preserve">6121 Rozšíření park.ploch u MěÚ </t>
    </r>
    <r>
      <rPr>
        <b/>
        <sz val="10"/>
        <rFont val="Arial CE"/>
        <family val="0"/>
      </rPr>
      <t>orj. 0575</t>
    </r>
  </si>
  <si>
    <t>6121 Komunikace ul. Kostelní orj. 598</t>
  </si>
  <si>
    <t>6121 Přest.term.IDS - terasa u zázemí pro cestující PD orj. 0601</t>
  </si>
  <si>
    <r>
      <t>6121 PD-Přestupní terminál IDS,</t>
    </r>
    <r>
      <rPr>
        <b/>
        <sz val="10"/>
        <rFont val="Arial CE"/>
        <family val="0"/>
      </rPr>
      <t xml:space="preserve"> Np 0381 orj. 516 </t>
    </r>
  </si>
  <si>
    <r>
      <t>6121 PD-Přest.term.IDS-zázemí pro cest.,</t>
    </r>
    <r>
      <rPr>
        <b/>
        <sz val="10"/>
        <rFont val="Arial CE"/>
        <family val="0"/>
      </rPr>
      <t>Np0381</t>
    </r>
    <r>
      <rPr>
        <sz val="10"/>
        <rFont val="Arial CE"/>
        <family val="2"/>
      </rPr>
      <t xml:space="preserve"> </t>
    </r>
    <r>
      <rPr>
        <b/>
        <sz val="10"/>
        <rFont val="Arial CE"/>
        <family val="0"/>
      </rPr>
      <t>orj.537</t>
    </r>
    <r>
      <rPr>
        <sz val="10"/>
        <rFont val="Arial CE"/>
        <family val="2"/>
      </rPr>
      <t>-</t>
    </r>
    <r>
      <rPr>
        <b/>
        <sz val="10"/>
        <rFont val="Arial CE"/>
        <family val="0"/>
      </rPr>
      <t>způsob.2. ETA</t>
    </r>
  </si>
  <si>
    <r>
      <t>6121 PD-Přestupní terminál IDS,</t>
    </r>
    <r>
      <rPr>
        <b/>
        <sz val="10"/>
        <rFont val="Arial CE"/>
        <family val="0"/>
      </rPr>
      <t xml:space="preserve"> ÚZ86505 Np 0385 orj. 516 </t>
    </r>
  </si>
  <si>
    <r>
      <t>6121 PD-Přest.term.IDS-zázemí pro cestující,</t>
    </r>
    <r>
      <rPr>
        <b/>
        <sz val="10"/>
        <rFont val="Arial CE"/>
        <family val="0"/>
      </rPr>
      <t>ÚZ86505</t>
    </r>
    <r>
      <rPr>
        <sz val="10"/>
        <rFont val="Arial CE"/>
        <family val="2"/>
      </rPr>
      <t>,</t>
    </r>
    <r>
      <rPr>
        <b/>
        <sz val="10"/>
        <rFont val="Arial CE"/>
        <family val="0"/>
      </rPr>
      <t xml:space="preserve"> Np0385 orj.537</t>
    </r>
  </si>
  <si>
    <t>6122 Vybavení zázemí pro cestující orj. 0577</t>
  </si>
  <si>
    <t>2219 Ostatní záležitosti pozem.komunikací (chodníky)</t>
  </si>
  <si>
    <t>2310 Příjmy z prodeje použité/vyřazené dlažby</t>
  </si>
  <si>
    <t>5139 Nákup materiálu na chodníky</t>
  </si>
  <si>
    <t>5169 Nákup ostatních služeb</t>
  </si>
  <si>
    <t>5171 Opravy a udržování chodníků</t>
  </si>
  <si>
    <t>5171 Chodník-městský park-orj. 358</t>
  </si>
  <si>
    <t>5171 Opravy a udržování chodníků, Loděnická orj. 0481</t>
  </si>
  <si>
    <t>5499 Neinvest. transfery obyvatelstvu příspěvek na chodník</t>
  </si>
  <si>
    <r>
      <t xml:space="preserve">6121 Chodník-lokal. Polní - propojení čtyř ulic-PD </t>
    </r>
    <r>
      <rPr>
        <b/>
        <sz val="10"/>
        <rFont val="Arial CE"/>
        <family val="0"/>
      </rPr>
      <t>orj. 0345</t>
    </r>
  </si>
  <si>
    <t>6121 Chodník-Znojemská-od Šťastných směr Coop-orj.373</t>
  </si>
  <si>
    <t>6121 Chodník-Smolín-PD-nové chodníky pro bezpečnost chodců-orj.374</t>
  </si>
  <si>
    <t>6121 Chodník-V.Dvůr-od mlýna po sádky pro bezpečn.chodců-orj.375</t>
  </si>
  <si>
    <t>6121 Chodník Velký Dvůr - PD Realizace 2015!</t>
  </si>
  <si>
    <t>6121 Chodník a cyklostezka-ul. Brněnská-orj.445 (dotace)</t>
  </si>
  <si>
    <t>2221 Provoz veřejné silniční dopravy</t>
  </si>
  <si>
    <t>5171 Opravy a udržování stávajících zastávek autobusů bez orj.</t>
  </si>
  <si>
    <t>5193 Dopravní obslužnost-IDS JmK-příspěvek města bez orj.</t>
  </si>
  <si>
    <t>5321 Neinv.transfer obci Pasohlávky-přemístění autobus.zastávky orj.0237</t>
  </si>
  <si>
    <t>5499 Neinvest.příspěvek seniorům na zakoupení jízdenky IDS JMK bez</t>
  </si>
  <si>
    <t>6121 Zastávky autobusů, orj. 418</t>
  </si>
  <si>
    <t>2229 Záležitosti v silniční dopravě</t>
  </si>
  <si>
    <t>5137 Dopravně výchovné akce BESIP - DHM orj 0120</t>
  </si>
  <si>
    <r>
      <t>5139 Nákup mat</t>
    </r>
    <r>
      <rPr>
        <sz val="11"/>
        <color theme="1"/>
        <rFont val="Calibri"/>
        <family val="2"/>
      </rPr>
      <t>.-dopravní značení svislé a orientační bez orj.</t>
    </r>
  </si>
  <si>
    <t>5154 Elektrická energie (spotřeba radaru) bez orj.</t>
  </si>
  <si>
    <t>5164 Nájemné přechodného dopr.značení bez orj.</t>
  </si>
  <si>
    <t>5169 Nákup služeb - dopravní značení svislé a orientační bez orj.</t>
  </si>
  <si>
    <t>5169 Nákup služeb - orj. 0120</t>
  </si>
  <si>
    <t>5175 Pohoštění orj.0120</t>
  </si>
  <si>
    <t>2310 Pitná voda - vodovody</t>
  </si>
  <si>
    <t>2111 Příjmy z poskytování služeb</t>
  </si>
  <si>
    <t>5137 Drobný hmotný dlouhodobý majetek (do 40 tis. Kč/ks) - bez orj.</t>
  </si>
  <si>
    <t>2132 Příjmy z pronáj.-stanice na hydroglobech-Telefónica O2 a T-Mobile</t>
  </si>
  <si>
    <t>5139 Nákup materiálu - vodovodní přípojky bez orj.</t>
  </si>
  <si>
    <t>Zásobování pitnou vodou ve městě</t>
  </si>
  <si>
    <t>5169 Nákup ost. služeb - orj. 0202</t>
  </si>
  <si>
    <t>5171 Opravy a udrž.vodovodů, vč.hydrogl.ul.Vídeňská,ul.Šumická, 0202</t>
  </si>
  <si>
    <t>6121 Vodovodní přípojka - ulice Sporovní  orj. 0376</t>
  </si>
  <si>
    <t>6121 Vodovodní přípojka Nám. Svobody 905 - orj. 468</t>
  </si>
  <si>
    <t>6121 Vodovod-PD-Stará Obec-vl.zdroje-orj. 517</t>
  </si>
  <si>
    <t>6121 Vodovod-prodloužení řadu U Cihelny,orj.558</t>
  </si>
  <si>
    <t>6129 ÚZSVM - věcná břemena (vodovod ul. Znojemská) - bez orj.</t>
  </si>
  <si>
    <t>2321 Odvádění a čištění odpadních vod - kanalizace</t>
  </si>
  <si>
    <t>5137 DHDM (do 40 tis. Kč/ks)-kanalizační přípojky</t>
  </si>
  <si>
    <t>5139 Nákup materiálu - na opravu kanalizací</t>
  </si>
  <si>
    <t>5141 Úroky vlastní-úvěr KB-projekt výstavby vodohosp.infrastr.-ISPA 0171</t>
  </si>
  <si>
    <t>5169 Nákup ost. služeb</t>
  </si>
  <si>
    <t>5171 Opravy a udrž.kanal.dešťových a jednotných,monitoring</t>
  </si>
  <si>
    <t>5171 Kanalizace-dešťová-bývalá kasárna,stoka u býv.výstrojáku,orj.560</t>
  </si>
  <si>
    <t>6121 Kanalizace-splašková-úprava výtlaku od tiskárny směr Jihlava</t>
  </si>
  <si>
    <t xml:space="preserve">6121 Kanalizace Velký Dvůr- zhotovení PD-orj. 328 </t>
  </si>
  <si>
    <t>6121 Kanal.dešť.přípojka ul.Hybešova dům č.p.466 Kadeřnictví-orj.342</t>
  </si>
  <si>
    <t>6121 Kanalizace dešťová i splašková - kino orj 0366</t>
  </si>
  <si>
    <r>
      <t xml:space="preserve">6121 Kanalizace dešťová - kino orj 0366 - </t>
    </r>
    <r>
      <rPr>
        <b/>
        <sz val="10"/>
        <rFont val="Arial CE"/>
        <family val="0"/>
      </rPr>
      <t>FRM</t>
    </r>
  </si>
  <si>
    <r>
      <t xml:space="preserve">6121 Kanalizace splašková - kino orj 0367 - </t>
    </r>
    <r>
      <rPr>
        <b/>
        <sz val="10"/>
        <rFont val="Arial CE"/>
        <family val="0"/>
      </rPr>
      <t>FRM</t>
    </r>
  </si>
  <si>
    <t>6121 Kanalizace-dešťová-Stará Obec-PD a realizace - orj. 525</t>
  </si>
  <si>
    <t>6121 Kanal.splašk.-Stará Obec-PD a realizace - orj.526</t>
  </si>
  <si>
    <t>6121 Kanal.dešťová-ul. Brněnská (BD 708,709,898),orj.559</t>
  </si>
  <si>
    <t>6121 Kanalizační přípojka splašková-Lidická 232-Cukrárna Marta-orj 0580</t>
  </si>
  <si>
    <t>6121 Kanalizační přípojka dešťová-Lidická 232-Cukrárna Marta-orj 0581</t>
  </si>
  <si>
    <r>
      <t xml:space="preserve">6121 Kanal.dešťová-ul. Brněnská (BD 708,709,898),orj.559 </t>
    </r>
    <r>
      <rPr>
        <b/>
        <sz val="10"/>
        <rFont val="Arial CE"/>
        <family val="0"/>
      </rPr>
      <t>FRM</t>
    </r>
  </si>
  <si>
    <r>
      <t>6121 Kanalizace-dešťová-Stará Obec-PD a realizace-</t>
    </r>
    <r>
      <rPr>
        <b/>
        <sz val="10"/>
        <rFont val="Arial CE"/>
        <family val="0"/>
      </rPr>
      <t>FRM</t>
    </r>
    <r>
      <rPr>
        <sz val="10"/>
        <rFont val="Arial CE"/>
        <family val="2"/>
      </rPr>
      <t>-orj. 525</t>
    </r>
  </si>
  <si>
    <r>
      <t>6121 Kanal.splašk.-Stará Obec-PD a realizace-</t>
    </r>
    <r>
      <rPr>
        <b/>
        <sz val="10"/>
        <rFont val="Arial CE"/>
        <family val="0"/>
      </rPr>
      <t>FRM</t>
    </r>
    <r>
      <rPr>
        <sz val="10"/>
        <rFont val="Arial CE"/>
        <family val="2"/>
      </rPr>
      <t>-orj.526</t>
    </r>
  </si>
  <si>
    <t>6121 Kanalizační přípojka splašková ul. Sportovní  - orj. 593</t>
  </si>
  <si>
    <t>6121 Kanalizace dešťová park ul. Tyršova - orj. 596</t>
  </si>
  <si>
    <t>6121 Kanalizace dešťová ul. Kostelní - orj. 597</t>
  </si>
  <si>
    <t>3111 MŠ Hybešova orj. 0304</t>
  </si>
  <si>
    <t>3111 MŠ Hybešova - orj. 304</t>
  </si>
  <si>
    <t>2132 Příjmy z pronájmu ost.nemovit. - budova - orj 0304</t>
  </si>
  <si>
    <t>5139 Nákup materiálu orj. 0304</t>
  </si>
  <si>
    <t>2133 Příjmy z pronájmu movitých věcí - vybavení-orj. 304</t>
  </si>
  <si>
    <t>5169 Nákup ost. služeb orj. 0304</t>
  </si>
  <si>
    <t>2322 Přijaté pojistné náhrady - orj. 0304</t>
  </si>
  <si>
    <t>5171 Opravy v rámci areálu MŠ orj 0304</t>
  </si>
  <si>
    <t>5331 Neinv.příspěvky - příspěvek na provoz MŠ orj. 0304</t>
  </si>
  <si>
    <t>5339 Dar MŠ Malešovice na pořízení herní skluzavky do třídy</t>
  </si>
  <si>
    <t>6121 PD přístavby zázemí správce MŠ-orj. 308</t>
  </si>
  <si>
    <t>6121 Hlavní budova MŠ-zateplení a valbová střecha-orj.310-dotač.projekt</t>
  </si>
  <si>
    <t>6121 MŠ - Veselé království - zahrada dotace-  orj.320</t>
  </si>
  <si>
    <t>6121 MŠ - stavba plotu Hybešova orj. 0582</t>
  </si>
  <si>
    <r>
      <t xml:space="preserve">6121 Rozvod vody - zahrada MŠ - orj. 331 - </t>
    </r>
    <r>
      <rPr>
        <b/>
        <sz val="10"/>
        <rFont val="Arial CE"/>
        <family val="0"/>
      </rPr>
      <t>FRM</t>
    </r>
  </si>
  <si>
    <t>6121 MŠ - Veselé království - zahrada dotace-  Np0531 orj.320</t>
  </si>
  <si>
    <t>6121 MŠ-zateplení a valbová střecha - Np 0381 orj.310</t>
  </si>
  <si>
    <t>6121 MŠ - Veselé království - zahrada dotace-ÚZ15828 Np0531 orj.320</t>
  </si>
  <si>
    <t>6121 MŠ - Veselé království - zahrada dotace-ÚZ15829 Np0535 orj.320</t>
  </si>
  <si>
    <t>6121 MŠ-zateplení a valbová střecha - ÚZ15835 Np 0545 orj.310</t>
  </si>
  <si>
    <t>6121 MŠ-zateplení a valbová střecha - ÚZ90877 Np 0541 orj.310</t>
  </si>
  <si>
    <t>3113 ZŠ Dlouhá-orj. 306</t>
  </si>
  <si>
    <t>2132 Příjmy z pronájmu ost.nemovit. - budova ZŠ-orj. 306</t>
  </si>
  <si>
    <t>5141 Úroky vlastní-úvěr KB, a.s.-Infrastruktura na ZŠ Pohořelice orj. 0306</t>
  </si>
  <si>
    <t>2133 Příjmy z pronájmu movitých věcí - vybavení-orj. 306</t>
  </si>
  <si>
    <t>5153 Plyn-ZŠ-přefakturace (nerozpočtuje se) orj. 0306</t>
  </si>
  <si>
    <t>2324 Přijaté nekap.příspěvky-vyúčt.energ. ZŠ-orj. 306</t>
  </si>
  <si>
    <t>5154 Elektrická energie-ZŠ-přefakturace (nerozpočtuje se) orj. 0306</t>
  </si>
  <si>
    <t>5169 Nákup ost. služeb ZŠ orj. 0306 (revize hromosvodů,PENB)</t>
  </si>
  <si>
    <t>5171 Opravy a udržování orj. 0306</t>
  </si>
  <si>
    <t>5331 Přísp.na provoz ZŠ-kroužky,pohoštění, běh T.Foxe-bez orj.</t>
  </si>
  <si>
    <t>5331 Příspěvek na provoz ZŠ - orj. 306</t>
  </si>
  <si>
    <t>5336 Příspěvek na provoz ZŠ,MŠ v Pasohlávkách</t>
  </si>
  <si>
    <t>5336 Dotace (průtoková) od MŠMT ZŠ ÚZ33058 Np0321 Orj.0322</t>
  </si>
  <si>
    <t>5336 Dotace (průtoková) od MŠMT ZŠ Ú33058 Np0321 Orj.0327</t>
  </si>
  <si>
    <t>5336 Dotace (průtoková) od MŠMT ZŠ ÚZ33058 Np0325 Orj.0322</t>
  </si>
  <si>
    <t>5336 Dotace (průtoková) od MŠMT ZŠ ÚZ33058 Np0325 Orj.0327</t>
  </si>
  <si>
    <t>5336 Dotace (průtoková) od MŠMT ZŠ ÚZ33060 Orj.0326</t>
  </si>
  <si>
    <t>5339 Dotace ZŠ a MŠ Vlasatice na mzdy Orj. 0228</t>
  </si>
  <si>
    <t>6121 Opravy a udrž.na ZŠ Pohoř.-realizované městem, orj. 306</t>
  </si>
  <si>
    <r>
      <t>6121 Zvýšení kapacity ZŠ</t>
    </r>
    <r>
      <rPr>
        <b/>
        <sz val="10"/>
        <rFont val="Arial CE"/>
        <family val="0"/>
      </rPr>
      <t xml:space="preserve"> orj.0368</t>
    </r>
    <r>
      <rPr>
        <sz val="10"/>
        <rFont val="Arial CE"/>
        <family val="2"/>
      </rPr>
      <t>,nezp.-Paarův zámeček-žádost o dotaci</t>
    </r>
  </si>
  <si>
    <t>6351 Invest.přísp.- pořízení wifi sítě ZŠ orj. 0306</t>
  </si>
  <si>
    <t>3113 Sportovní hala-orj. 900</t>
  </si>
  <si>
    <t>2111 Příjmy z poskytování služeb-sport.hala-orj. 900</t>
  </si>
  <si>
    <t>5011 Platy zaměstnanců-sport.hala orj 0900</t>
  </si>
  <si>
    <t>2132 Příjmy z pronájmu sportovní haly-orj. 900</t>
  </si>
  <si>
    <t>5021 Ostatní osobní výdaje-sport.hala orj 0900</t>
  </si>
  <si>
    <t>2322 Přijaté pojistné náhrady - orj. 0900 (vloupání)</t>
  </si>
  <si>
    <t>5031 Povinné pojistné-na soc.zab.-sport.hala orj 0900</t>
  </si>
  <si>
    <t>2324 Přijaté nekap.příspěvky-vyúčt.energ.sport.hala-orj. 900</t>
  </si>
  <si>
    <t>5032 Povinné pojistné-sport.hala orj 0900</t>
  </si>
  <si>
    <t>5132 Ochranné pomůcky - sport.hala orj. 0900</t>
  </si>
  <si>
    <t>5136 Knihy, učební pomůcky a tisk-sport.hala orj. 0900</t>
  </si>
  <si>
    <t>5137 DHDM (do 40 tis. Kč/ks)-sport.hala orj. 0900</t>
  </si>
  <si>
    <t>5139 Nákup materiálu-sport.hala orj. 0900</t>
  </si>
  <si>
    <t>5151 Studená voda-sport.hala orj. 0900</t>
  </si>
  <si>
    <t>5153 Plyn-sport.hala orj. 0900</t>
  </si>
  <si>
    <t>5154 Elektrická energie-sport.hala orj. 0900</t>
  </si>
  <si>
    <t>5156 Pohonné hmoty a maziva-sport.hala orj. 0900</t>
  </si>
  <si>
    <t>5162 Služby telekomunikací - telefon, internet-sport.hala orj. 0900</t>
  </si>
  <si>
    <t>5167 Služby školení a vzdělávání orj 0900</t>
  </si>
  <si>
    <t>5169 Nákup ostatních služeb, revize-sport.hala orj. 0900</t>
  </si>
  <si>
    <t>5171 Opravy a udržování-sport.hala orj. 0900</t>
  </si>
  <si>
    <t>5173 Cestovné-sport.hala orj. 0900</t>
  </si>
  <si>
    <t>5175 Pohoštění - sport. Hala orj. 0900</t>
  </si>
  <si>
    <t>5424 Dočasná pracovní neschopnost (14 dní) orj. 0900</t>
  </si>
  <si>
    <t>6121 Zateplení Sportovní haly orj. 0314-dotační projekt</t>
  </si>
  <si>
    <t>6121 Studie zázemí SH - návrh vstupní části orj.0579</t>
  </si>
  <si>
    <t>6121 Zateplení Sportovní haly Np0541, orj. 0314-dotační projekt</t>
  </si>
  <si>
    <t>6121 Zateplení Sportovní haly ÚZ15835, Np0545, orj. 0314</t>
  </si>
  <si>
    <t>6121 Zateplení Sportovní haly ÚZ90877, Np0541, orj. 0314</t>
  </si>
  <si>
    <t>3114 Základní škola Šumická 727, Pohořelice-orj.307</t>
  </si>
  <si>
    <t>5139 Nákup materiálu orj.0307</t>
  </si>
  <si>
    <r>
      <t xml:space="preserve">5151 Studená voda </t>
    </r>
    <r>
      <rPr>
        <sz val="11"/>
        <color theme="1"/>
        <rFont val="Calibri"/>
        <family val="2"/>
      </rPr>
      <t xml:space="preserve"> orj. 0307</t>
    </r>
  </si>
  <si>
    <r>
      <t xml:space="preserve">5154 Elektrická energie </t>
    </r>
    <r>
      <rPr>
        <sz val="11"/>
        <color theme="1"/>
        <rFont val="Calibri"/>
        <family val="2"/>
      </rPr>
      <t>orj. 0307</t>
    </r>
  </si>
  <si>
    <t>5169 Nákup ost.služeb orj 0307</t>
  </si>
  <si>
    <t>5171 Opravy a udržování orj.0307</t>
  </si>
  <si>
    <t>3141 Školní stravování při předškol., zákl.vzdělávání</t>
  </si>
  <si>
    <t>5321 Dotace za žáky města-přísp.na stravování ve ŠJ Židlochovice</t>
  </si>
  <si>
    <t>3231 Základní umělecké školy - ZUŠ Školní</t>
  </si>
  <si>
    <t>3231 Základní umělecké školy - ZUŠ Školní - orj. 312</t>
  </si>
  <si>
    <t>2132 Příjmy z pronájmu ost.nemovit. - budova</t>
  </si>
  <si>
    <t>5041 Odměny za užití duševního vlastnictví, OSA, vystoupení účinkujících orj.0312</t>
  </si>
  <si>
    <t>2324 Očekávaná dotace r.2014 Barvy,tvary a vzory regionů Np.0415 Orj.0479</t>
  </si>
  <si>
    <t>5137 DHDM (do 40 tis. Kč/ks) orj. 0312</t>
  </si>
  <si>
    <t>5139 Nákup materiálu orj 312</t>
  </si>
  <si>
    <t>5169 Nákup ost.služeb orj. 0312</t>
  </si>
  <si>
    <t>5171 Opravy a udržování orj. 0312</t>
  </si>
  <si>
    <t>5213 Kantilena,v.o.s.,Brno-pěvecký soubor-dotace na činnost bez orj.</t>
  </si>
  <si>
    <t>5339 Neinvest.přísp.-na hudební nástroje a pomůcky orj. 0312</t>
  </si>
  <si>
    <t>6121 Stavební úpravy interiéru orj. 0321 (elektroinstalace)</t>
  </si>
  <si>
    <t>6121 Venkovní úpravy uvnitř areálu orj. 0578</t>
  </si>
  <si>
    <t>3233 Střediska volného času Pohořelice, Lužánky</t>
  </si>
  <si>
    <t>2132 Příjmy z pronájmu ost.nemovit. - budova SVČ orj. 0313</t>
  </si>
  <si>
    <r>
      <t xml:space="preserve">5171 Oprava areálu Tyršova 587 - SVČ orj.0359  </t>
    </r>
    <r>
      <rPr>
        <b/>
        <sz val="10"/>
        <rFont val="Arial CE"/>
        <family val="0"/>
      </rPr>
      <t>FRM</t>
    </r>
  </si>
  <si>
    <t>2132 Příjmy z pronájmu ost.nemovit. - budova Tyršovka orj. 0356</t>
  </si>
  <si>
    <t>5339 Neinv.dotace-činnost a provoz SVČ Pohořelice orj. 0313</t>
  </si>
  <si>
    <r>
      <t>6121 Rekonstrukce Tyršovky-orj. 356-</t>
    </r>
    <r>
      <rPr>
        <b/>
        <sz val="10"/>
        <rFont val="Arial CE"/>
        <family val="0"/>
      </rPr>
      <t>FRM</t>
    </r>
  </si>
  <si>
    <t xml:space="preserve">6121 PD zateplení budovy SVČ - Dlouhá orj. 583 </t>
  </si>
  <si>
    <t>5339 Neinv.dotace-taneční kroužek Funny Angels - orj. 436</t>
  </si>
  <si>
    <t>3311 Pohořelický divadelní ansámbl POHODA</t>
  </si>
  <si>
    <t>5222 Neinv.dotace na provoz ansámblu</t>
  </si>
  <si>
    <t>3312 Hudební činnost</t>
  </si>
  <si>
    <t>2111 Vybrané vstupné 8.ročník Mužáci orj. 0800</t>
  </si>
  <si>
    <t>2321 Finanční dar-na činnost Máščasbandu-orj. 801</t>
  </si>
  <si>
    <t>5222 Junior Band Pohořelice (hud.skupina při ZUŠ Pohořelice)</t>
  </si>
  <si>
    <r>
      <t xml:space="preserve">(5901) Akce: spolek Mužáci - orj. 800 </t>
    </r>
    <r>
      <rPr>
        <sz val="11"/>
        <color theme="1"/>
        <rFont val="Calibri"/>
        <family val="2"/>
      </rPr>
      <t>(v r.2014-11.výročí od založení)</t>
    </r>
  </si>
  <si>
    <t>(5901) Akce: spolek Máščasband - orj. 801</t>
  </si>
  <si>
    <t>3313 Kino Pohořelice</t>
  </si>
  <si>
    <t>3313 Kino Pohořelice - orj. 316</t>
  </si>
  <si>
    <t>2132 Pronájem orj. 0316</t>
  </si>
  <si>
    <t>5139 Nákup materiálu orj. 0316</t>
  </si>
  <si>
    <t>2324 Přijaté nekapitálové příspěvky a náhrady (úhrada FAV za energie)</t>
  </si>
  <si>
    <t>5151 Studená voda-(část přefakturace) orj. 0316</t>
  </si>
  <si>
    <t>5154 Elektrická energie-část přefakturace orj.0316</t>
  </si>
  <si>
    <t>5171 Kino-oprava WC, vnitřní rozvody vody a kanal.</t>
  </si>
  <si>
    <t>6121 Výměna zdr.vytáp.-tep.čerp.vzd/plyn-podmíněno získ.dot. orj.0316</t>
  </si>
  <si>
    <r>
      <t xml:space="preserve">6121 Zateplení budovy kina, kotel orj. 366 - dotační projekt </t>
    </r>
    <r>
      <rPr>
        <b/>
        <sz val="11"/>
        <rFont val="Arial CE"/>
        <family val="0"/>
      </rPr>
      <t>FRM</t>
    </r>
  </si>
  <si>
    <t>6121 Zateplení kina, vytápění, nespalitelné oplocení orj. 366-dotace</t>
  </si>
  <si>
    <t>6121 Zateplení kina, vytápění, nespalitelné oplocení NP0541 orj. 366</t>
  </si>
  <si>
    <t>6121 Zateplení kina, vytápění, nespalitelné oplocení ÚZ15835 NP0545 orj.366</t>
  </si>
  <si>
    <t>6121 Zateplení kina, vytápění, nespalitelné oplocení ÚZ90877 NP0541 orj.366</t>
  </si>
  <si>
    <t>3314 Knihovna Pohořelice</t>
  </si>
  <si>
    <t>3314 Knihovna Pohořelice - orj. 421</t>
  </si>
  <si>
    <t>2111 Příjmy z poskytování služeb orj. 0421</t>
  </si>
  <si>
    <t>5011 Platy zaměstnanců orj 0421</t>
  </si>
  <si>
    <t>5021 Ostatní osobní výdaje orj 0421</t>
  </si>
  <si>
    <t>5031 Povinné pojistné - soc.zab. a zaměstnanost orj 0421</t>
  </si>
  <si>
    <t>5032 Povinné pojistné - veř.zdrav.poj. Orj 0421</t>
  </si>
  <si>
    <t>5136 Knihy, učební pomůcky a tisk orj 0421</t>
  </si>
  <si>
    <t>5137 Drobný hmotný dl.majetek (do 40 tis. Kč/ks) orj 0421</t>
  </si>
  <si>
    <t>5139 Nákup materiálu orj 0421</t>
  </si>
  <si>
    <t>5154 Elektrická energie orj 0421</t>
  </si>
  <si>
    <t>5161 Služby pošt orj 0421</t>
  </si>
  <si>
    <t>5162 Služby telekomunikací - telefon, internet orj 0421</t>
  </si>
  <si>
    <t>5167 Služby školení a vzdělávání orj. 0421</t>
  </si>
  <si>
    <t>5168 Zprac.dat a služby související s inform.a komunikač.technol.orj.421</t>
  </si>
  <si>
    <t>5169 Nákup ost.služeb orj. 0421</t>
  </si>
  <si>
    <t>5171 Opravy a udrž.-nová podlaha v dosp.odd.,malování orj. 0421</t>
  </si>
  <si>
    <t>5172 Rozšíření softwaru pro Smolín a Novou Ves  orj. 0421</t>
  </si>
  <si>
    <t>5173 Cestovné orj. 0421</t>
  </si>
  <si>
    <t>5175 Pohoštění (akce pro děti a mládež v knihovně) orj. 0421</t>
  </si>
  <si>
    <t>5192 Poskytnuty neinvestiční příspěvky orj. 0421</t>
  </si>
  <si>
    <t>5229 Ost.neinvest.transfery do svazu knihovníků a inf.prac. (SKIP)orj.0421</t>
  </si>
  <si>
    <t>5424 Dočasná pracovní neschopnost (14 dní) orj. 0421</t>
  </si>
  <si>
    <t>6111 Digitalizace knihovny a knih.fondu v Nové Vsi a Smolíně bez orj</t>
  </si>
  <si>
    <t>3315 Činnosti muzeí a galerií</t>
  </si>
  <si>
    <t>5222 Dotace Muzejnímu spolku Pohořelice bez orj.</t>
  </si>
  <si>
    <t>3317 Výstavní činnosti v kultuře-výstavy v Rad.sále</t>
  </si>
  <si>
    <t>5041 Odměny za užití duševního vlastnictví, OSA</t>
  </si>
  <si>
    <t>5137 Drobný hmotný dlouhodobý majetek (do 40 tis. Kč/ks)</t>
  </si>
  <si>
    <t xml:space="preserve">5175 Pohoštění </t>
  </si>
  <si>
    <t>5222 Neinv.dotace na provoz sdružení Amis ART</t>
  </si>
  <si>
    <t>3319 Kronika města</t>
  </si>
  <si>
    <t>5021 Ost.osobní výdaje-zápisy do Kroniky</t>
  </si>
  <si>
    <t>3322 Zachování a obnova kulturních památek</t>
  </si>
  <si>
    <t>5171 Opravy a udrž.-vl.zdroje-mj. spoluúčast k ž.o dotaci</t>
  </si>
  <si>
    <t>5223 Neinv.dotace-farnost Pohořelice - kostel sv. Jakuba - orj.400</t>
  </si>
  <si>
    <t>5223 Neinv.dotace- farnost Medlov - kostel ve Smolíně - orj. 401</t>
  </si>
  <si>
    <t>5223 Neinv.dotace-farnost Vlasatice, oprava kaple Nová Ves-orj.402</t>
  </si>
  <si>
    <t>6119 PD-rekonstrukce Pfannu na nebyt.prost.(kanceláře)-orj. 527</t>
  </si>
  <si>
    <t>6323 Invest.dotace-farnost Pohořelice-ozvučení kostela Orj.0400</t>
  </si>
  <si>
    <t>3341 Rozhlas</t>
  </si>
  <si>
    <t>3341 Místní rozhlas</t>
  </si>
  <si>
    <t>2111 Příjmy z hlášení městského rozhlasu orj 0500</t>
  </si>
  <si>
    <t>5171 Opravy a udržování</t>
  </si>
  <si>
    <t>3349 Ost.záležitosti sdělovacích prostředků</t>
  </si>
  <si>
    <t>2111 Příjem z komerční inzerce-Pohořelické listy</t>
  </si>
  <si>
    <t>5021 Ostatní osobní výdaje-Roznos-Pohořelické listy</t>
  </si>
  <si>
    <r>
      <t>5169</t>
    </r>
    <r>
      <rPr>
        <sz val="10"/>
        <rFont val="Arial CE"/>
        <family val="2"/>
      </rPr>
      <t xml:space="preserve"> Zpracování a tisk-Pohořelické listy</t>
    </r>
  </si>
  <si>
    <t>3392 Zájmová činnost v kultuře a Radniční sál</t>
  </si>
  <si>
    <t>3392 Zájmová činnost v kultuře-Radniční sál, KIC-orj.317</t>
  </si>
  <si>
    <t>2111 Příjmy z poskytování služeb - vstupné aj.  orj. 0317</t>
  </si>
  <si>
    <t>5011 Platy zaměstnanců orj 0317</t>
  </si>
  <si>
    <t>2132 Příjmy z pronájmu ost.nemovit. - radniční sál orj.0300</t>
  </si>
  <si>
    <t>5021 Ostatní osobní výdaje orj. 0317</t>
  </si>
  <si>
    <t>2133 Příjmy z pronájmu movitých věcí - židle, stoly  orj.0300</t>
  </si>
  <si>
    <t>5031 Povinné pojistné - soc.zab. a zaměstnanost orj 0317</t>
  </si>
  <si>
    <t>2321 Příspěvky podnikatelů na hodovou zábavu  orj.0300</t>
  </si>
  <si>
    <t>5032 Povinné pojistné - veř.zdrav.poj. Orj. 0317</t>
  </si>
  <si>
    <t>2321 Příspěvky podnikatelů na hodovou zábavu  orj.0441</t>
  </si>
  <si>
    <t>5041 Odměny za užití duševního vlastnictví + OSA, DILIA orj. 0317</t>
  </si>
  <si>
    <t>2324 Přijaté nekapit.příspěvky-náhrada škody-sál,ost.příspěvky orj.0317</t>
  </si>
  <si>
    <t>5041 Odměny za užití duševního vlastnictví + OSA, DILIA orj. 0441</t>
  </si>
  <si>
    <t>2329 Ost.nedaň.příjmy - dobrovolné vstupné při kulturních akcích 0317</t>
  </si>
  <si>
    <t>5134 Prádlo, oděv, obuv orj 0317</t>
  </si>
  <si>
    <t>5136 Knihy, učební pomůcky a tisk orj 0317</t>
  </si>
  <si>
    <t>5137 DHDM (do 40 tis. Kč/ks) orj 0317</t>
  </si>
  <si>
    <t>5139 Nákup materiálu orj 0317</t>
  </si>
  <si>
    <t>5151 Studená voda orj. 0317</t>
  </si>
  <si>
    <t>5161 Služby pošt orj. 0317</t>
  </si>
  <si>
    <t>5162 Služby telekomunikací - telefon orj. 0317</t>
  </si>
  <si>
    <t>5164 Hody - pronájem  orj. 0441</t>
  </si>
  <si>
    <t>5169 Nákup ost.služeb orj. 0317</t>
  </si>
  <si>
    <t>5171 Opravy a udržování orj. 0317</t>
  </si>
  <si>
    <t>5173 Cestovné orj. 0317</t>
  </si>
  <si>
    <t>5175 Pohoštění orj.0317</t>
  </si>
  <si>
    <t>5194 Věcné dary orj 0317</t>
  </si>
  <si>
    <t>5424 Dočasná pracovní neschopnost (14 dní) orj. 0317</t>
  </si>
  <si>
    <t>5901 Akce: Hodové zábavy 2014 - orj. 441</t>
  </si>
  <si>
    <t>6121 Rekonstrukce WC vč. pro imobilní radnice + zázemí sálu - orj. 0572</t>
  </si>
  <si>
    <r>
      <t xml:space="preserve">6121 Rekonstrukce WC  + zázemí sálu - orj. 0572 </t>
    </r>
    <r>
      <rPr>
        <b/>
        <sz val="10"/>
        <color indexed="8"/>
        <rFont val="Arial"/>
        <family val="2"/>
      </rPr>
      <t>- FRM</t>
    </r>
  </si>
  <si>
    <t>3399 Ost.záležitosti kultury - Slavnosti města Pohořelice aj.</t>
  </si>
  <si>
    <t>3399 Ost.zálež.kultury-Akce: Slavnosti města Pohořelice</t>
  </si>
  <si>
    <t>2111 Přísp.podnikatelů na Slavnosti města Pohoř.a okolí - reklama</t>
  </si>
  <si>
    <t>5021 Ostatní osobní výdaje</t>
  </si>
  <si>
    <t>2321 Přísp.podnikatelů na Slavnosti města Pohoř.a okolí - dary</t>
  </si>
  <si>
    <t>5041 Odměny za užití duševního vlastnictví, OSA, vystoupení účinkujících</t>
  </si>
  <si>
    <t>2329 Dobrovolné vstupné při Slavnostech města Poh.a okolí</t>
  </si>
  <si>
    <t>5161 Služby pošt</t>
  </si>
  <si>
    <t>5164 Nájemné (mobilní WC, tribuna aj.)</t>
  </si>
  <si>
    <t>5175 Pohoštění účinkujících</t>
  </si>
  <si>
    <t>3419 Ostatní tělovýchovná činnost</t>
  </si>
  <si>
    <t>2132 Pronájem ost.nemovit.-budova Sokolovny a objekt sil.trojboje</t>
  </si>
  <si>
    <t>Akce: Sokolovna-opravy, správa-orj.901, PD zateplení-orj.311</t>
  </si>
  <si>
    <t>5139 Pamětní deska orj 0311</t>
  </si>
  <si>
    <t>5139 Akce Sokolovna opravy, správa orj 0901</t>
  </si>
  <si>
    <t>5151 Studená voda - částečná přefakturace orj. 0901</t>
  </si>
  <si>
    <t>5153 Plyn - částečná přefakturace orj. 0901</t>
  </si>
  <si>
    <t>5154 Elektřina - částečná přefakturace orj. 0901</t>
  </si>
  <si>
    <t>5169 Nákup ost.služeb-družební fotbal.turnaje v Pohořelicích</t>
  </si>
  <si>
    <t>5169 Akce Sokolovna opravy, správa orj 0901</t>
  </si>
  <si>
    <t>5171 Opravy a udržování orj 0901</t>
  </si>
  <si>
    <t>5222 Neinvest.dotace občanským sdružením</t>
  </si>
  <si>
    <t xml:space="preserve">                 - TJ Sokol Pohořelice - tenis - orj. 188</t>
  </si>
  <si>
    <t xml:space="preserve">                 - TJ Sokol Pohořelice - biliard - orj. 193</t>
  </si>
  <si>
    <t xml:space="preserve">                 - TJ Sokol Pohořelice - volejbal - orj. 194</t>
  </si>
  <si>
    <t xml:space="preserve">                 - TJ Sokol Pohořelice - kopaná - orj. 195</t>
  </si>
  <si>
    <t xml:space="preserve">                 - TJ Sokol Pohořelice - silové sporty - orj. 196</t>
  </si>
  <si>
    <t xml:space="preserve">                 - TJ Dynamo V.D.-kopaná+kult.akce -orj. 197</t>
  </si>
  <si>
    <t xml:space="preserve">                 - TJ Sokol Pohořelice - kopaná-orj.199-na opravu kabin</t>
  </si>
  <si>
    <t xml:space="preserve">                 - TJ Sokol Pohoř.-turnaj o pohár M.Marka-orj.422</t>
  </si>
  <si>
    <t xml:space="preserve">                 - TJ Sokol Poh.-kop-OTAVA CUP v Sušici-orj.426</t>
  </si>
  <si>
    <t xml:space="preserve">                 - Florbal Pohořelice, o.s.-orj. 0427</t>
  </si>
  <si>
    <t xml:space="preserve">                 - TJ Sokol Pohoř.-dotace na provoz Sokolovny-orj.431</t>
  </si>
  <si>
    <t xml:space="preserve">                 - TJ Sokol Pohořelice - basketbal - orj. 462</t>
  </si>
  <si>
    <t xml:space="preserve">                 - 3D Lukostřelnice  - orj. 494</t>
  </si>
  <si>
    <t xml:space="preserve">                 - O. S. Motocross, Pohořelice - orj. 496</t>
  </si>
  <si>
    <t>5492 Dárkový certifikát</t>
  </si>
  <si>
    <t>6121 Invest. výdaj zateplení sokolovny orj.0311</t>
  </si>
  <si>
    <t>6121 Invest. výdaj zateplení sokolovny Np 0541 orj. 0311</t>
  </si>
  <si>
    <t>6121 Invest. výdaj zateplení sokolovny ÚZ15835 Np0545 orj. 0311</t>
  </si>
  <si>
    <t>6121 Rekonstrukce topení sokolovny orj. 901</t>
  </si>
  <si>
    <r>
      <t>6121 Rekonstrukce topení sokolovny orj. 901-</t>
    </r>
    <r>
      <rPr>
        <b/>
        <sz val="10"/>
        <rFont val="Arial CE"/>
        <family val="0"/>
      </rPr>
      <t>FRM</t>
    </r>
  </si>
  <si>
    <t>6322 Invest.dotace TJ Sokol Pohořelice na oplocení hřiště - orj.0188</t>
  </si>
  <si>
    <t>6322 Invest.dotace TJ Sokol Pohořelice na stavbu sociálek - orj.0195</t>
  </si>
  <si>
    <r>
      <t xml:space="preserve">6322 Invest.dotace TJ Dynamo vybudování závlah na hřišti - orj.0197 </t>
    </r>
    <r>
      <rPr>
        <b/>
        <sz val="10"/>
        <rFont val="Arial CE"/>
        <family val="0"/>
      </rPr>
      <t>FRM</t>
    </r>
  </si>
  <si>
    <t xml:space="preserve">6322 Invest.dotace TJ Dynamo vybudování závlah na hřišti - orj.0197 </t>
  </si>
  <si>
    <t>Řádek sloužící ke správnému výpočtu celkových výdajů</t>
  </si>
  <si>
    <t>3421 Využití volného času dětí a mládeže</t>
  </si>
  <si>
    <t>Akce: Poraj děti a dospělí</t>
  </si>
  <si>
    <t>5163 Služby peněžních ústavů - pojištění - orj.0301</t>
  </si>
  <si>
    <t>2324 Očekávaná dotace r.2014 Paměti města Pohoř.aBrezová Np.0415 Orj.0478</t>
  </si>
  <si>
    <t>5169 Nákup ost. služeb Poraj Orj. 0301</t>
  </si>
  <si>
    <t>5194 Věcné dary - orj 0301</t>
  </si>
  <si>
    <r>
      <t xml:space="preserve">5901 </t>
    </r>
    <r>
      <rPr>
        <b/>
        <sz val="10"/>
        <rFont val="Arial CE"/>
        <family val="0"/>
      </rPr>
      <t xml:space="preserve">AKCE </t>
    </r>
    <r>
      <rPr>
        <sz val="11"/>
        <color theme="1"/>
        <rFont val="Calibri"/>
        <family val="2"/>
      </rPr>
      <t>Poraj děti a dospělí  - orj. 301</t>
    </r>
  </si>
  <si>
    <t>Akce: Středisko volného času-SVČ - orj. 313</t>
  </si>
  <si>
    <t xml:space="preserve">5901 Opravy areálů SVČ Dlouhá a Tyršovka bez orj. </t>
  </si>
  <si>
    <t>Akce: Dětská hřiště ve městě</t>
  </si>
  <si>
    <t>5137 Městský park - nákup strojů - mládež a senioři  Orj.0315</t>
  </si>
  <si>
    <t>5137 Městský park - nákup strojů - mládež a senioři  Orj.0473</t>
  </si>
  <si>
    <t>5139 Dětské hřiště - nákup materiálu orj 0315</t>
  </si>
  <si>
    <t>5139 Dirt park - nákup materiálu orj 0529</t>
  </si>
  <si>
    <t>5164 Pronájem  (akce Army Jam)  orj.0529</t>
  </si>
  <si>
    <t>5169 Dětské hřiště - nákup služeb  orj 0315</t>
  </si>
  <si>
    <t>5169 Video pro online prezentaci akce Army Jam (Dirt park) orj. 0529</t>
  </si>
  <si>
    <t>5171 Dětské hřiště - opravy a udržování orj 0315</t>
  </si>
  <si>
    <t>5171 Oprava areálu Dirt park orj. 0529</t>
  </si>
  <si>
    <t>6121 Dětská hřiště - herní prvky - orj.315</t>
  </si>
  <si>
    <r>
      <t>6121 Dětské dopr.hřiště-sportoviště za SH-</t>
    </r>
    <r>
      <rPr>
        <sz val="11"/>
        <color theme="1"/>
        <rFont val="Calibri"/>
        <family val="2"/>
      </rPr>
      <t>vl.zdroje</t>
    </r>
    <r>
      <rPr>
        <b/>
        <sz val="10"/>
        <rFont val="Arial CE"/>
        <family val="0"/>
      </rPr>
      <t>-orj.339</t>
    </r>
  </si>
  <si>
    <t>6121 Hřiště pro Bikesport (Dirt park Pohoř.za parkem)-orj.529</t>
  </si>
  <si>
    <t>Ostatní</t>
  </si>
  <si>
    <t>5212 Ost.neinvest.dotace nezisk.orj.-Hudební ateliér-dotace</t>
  </si>
  <si>
    <t xml:space="preserve">5222 Neinv.přísp.ost.-JUNÁK-svaz skautů a skautek ČR </t>
  </si>
  <si>
    <t>3429 Klub seniorů - orj. 208</t>
  </si>
  <si>
    <t>2132 Příjmy z pronájmu klubovny orj. 0208</t>
  </si>
  <si>
    <t>5021 Ost.osobní výdaje orj.0208</t>
  </si>
  <si>
    <t>5041 Odměny za užití duševního vlastnictví + OSA OR. 0208</t>
  </si>
  <si>
    <t>5137 DHDM (do 40 tis. Kč/ks) orj. 0208</t>
  </si>
  <si>
    <t>5139 Nákup materiálu orj 0208</t>
  </si>
  <si>
    <t>5151 Studená voda orj. 0208</t>
  </si>
  <si>
    <t>5154 Elektrická energie orj. 0208</t>
  </si>
  <si>
    <t>5161 Služby pošt orj. 0208</t>
  </si>
  <si>
    <t>5164 Nájemné orj. 0208</t>
  </si>
  <si>
    <t>5169 Nákup ost.služeb orj. 0208</t>
  </si>
  <si>
    <t>5171 Opravy a udržování orj 0208</t>
  </si>
  <si>
    <t>5175 Pohoštění orj. 0208</t>
  </si>
  <si>
    <t>5192 Poskytnuté neinvest.příspěvky orj 0208</t>
  </si>
  <si>
    <t>3429 Ostatní zájmová činnost a rekreace</t>
  </si>
  <si>
    <t>5222 Ost.neinvest.dot.nezisk.orj.-Kynologický klub Pohořelice bez orj.</t>
  </si>
  <si>
    <t>5222 Neinv.dotace obč.sdruž. - MO MRS-rybáři - orj. 198</t>
  </si>
  <si>
    <t>5222 Myslivecké sdružení Pohořelice - orj. 227</t>
  </si>
  <si>
    <t>5222 Myslivecké sdružení Smolín - orj. 503</t>
  </si>
  <si>
    <t>5222 Český svaz bojovníků za svobodu v Břeclavi orj 0554</t>
  </si>
  <si>
    <t>5222 ČZS - ZO Pohořelice příspěvek na vymývačku sklenic orj. 573</t>
  </si>
  <si>
    <t>5222 Pobočný spolek zdravotně postižených Brněnsko orj. 574</t>
  </si>
  <si>
    <t>3519 Zdravotní středisko orj. 0600</t>
  </si>
  <si>
    <t>3519 Zdravotní středisko - orj. 600</t>
  </si>
  <si>
    <t>2111 Příjmy z poskyt.služeb-energie - orj. 0600 (K1)</t>
  </si>
  <si>
    <t>5137 Drobný hmotný dlouhodobý majetek (do 40 tis. Kč/ks) oprj. 0600</t>
  </si>
  <si>
    <t>2132 Příjmy z pronájmu ost.nemovit. - budova - orj. 0600</t>
  </si>
  <si>
    <t>5139 Nákup materiálu orj. 0600</t>
  </si>
  <si>
    <t>2324 Přijaté nekapitálové příspěvky-vyúčt.energií - orj. 0600</t>
  </si>
  <si>
    <t>5151 Studená voda-přefakturace orj 0600</t>
  </si>
  <si>
    <t>5154 Elektrická energie-část přefakturace orj 0600</t>
  </si>
  <si>
    <t>5169 Nákup ost.služeb orj. 0600</t>
  </si>
  <si>
    <t>5171 Opravy a udržování orj. 0600</t>
  </si>
  <si>
    <r>
      <t xml:space="preserve">6121 Rekonstrukce ZS </t>
    </r>
    <r>
      <rPr>
        <b/>
        <sz val="10"/>
        <rFont val="Arial CE"/>
        <family val="0"/>
      </rPr>
      <t xml:space="preserve"> orj. 0565 </t>
    </r>
  </si>
  <si>
    <r>
      <t>6121 Úprava topení-vlastní zdroj tepla a rozvody-</t>
    </r>
    <r>
      <rPr>
        <b/>
        <sz val="10"/>
        <rFont val="Arial CE"/>
        <family val="2"/>
      </rPr>
      <t xml:space="preserve">orj. 0546 </t>
    </r>
    <r>
      <rPr>
        <b/>
        <sz val="11"/>
        <rFont val="Arial CE"/>
        <family val="0"/>
      </rPr>
      <t>FRM</t>
    </r>
  </si>
  <si>
    <r>
      <t>6121 Stavební úpravy soc.zařízení -</t>
    </r>
    <r>
      <rPr>
        <b/>
        <sz val="10"/>
        <rFont val="Arial CE"/>
        <family val="2"/>
      </rPr>
      <t xml:space="preserve">orj. 0565  </t>
    </r>
    <r>
      <rPr>
        <b/>
        <sz val="11"/>
        <rFont val="Arial CE"/>
        <family val="0"/>
      </rPr>
      <t>FRM</t>
    </r>
  </si>
  <si>
    <t>3525 Odborný léčebný ústav - Hospic Rajhrad (Dům léčby bolesti)</t>
  </si>
  <si>
    <t>5223 Neinvestiční dotace na provoz-Hospic Rajhrad (Dům léčby bolesti)</t>
  </si>
  <si>
    <t>3599 Ostatní činnost ve zdravotnictví</t>
  </si>
  <si>
    <t>5139 Nákup materiálu-doplňování lékárniček na úřadě</t>
  </si>
  <si>
    <t>5222 Finanční dar na babybox umístěný v Nemocnici Břeclav</t>
  </si>
  <si>
    <t>3612 Bytové hospodářství</t>
  </si>
  <si>
    <t>3612 Bytové hospodářství-orj.221</t>
  </si>
  <si>
    <t>2111 Příjmy z poskyt.služeb-služby bytové správy orj.0221</t>
  </si>
  <si>
    <t>5011 Platy zaměstnanců-správa bytů orj. 0221</t>
  </si>
  <si>
    <t>2132 Příjmy z pronájmu - kotelny, VPP - orj 0213</t>
  </si>
  <si>
    <t>5031 Pojistné sociální-správa bytů orj. 0221</t>
  </si>
  <si>
    <t>2132 Příjmy z pronájmu ost.nemovit. - nájemné - orj. 0221</t>
  </si>
  <si>
    <t>5032 Pojistné zdravotní-správa bytů orj. 0221</t>
  </si>
  <si>
    <t>2212 Příjem z poplatku z prodlení s úhradou nájmu</t>
  </si>
  <si>
    <t>5133 Léky a zdravotnický materiál (lékárničky)</t>
  </si>
  <si>
    <t>2324 Přijaté nekap.příspěvky orj.0221</t>
  </si>
  <si>
    <t>5137 DHDM (do 40 tis.Kč/ks)-zařiz.předměty-bojler,sporák,kuch.linka orj 0221</t>
  </si>
  <si>
    <r>
      <t>3112 Příjmy z privatizace bytového fondu města-</t>
    </r>
    <r>
      <rPr>
        <b/>
        <sz val="10"/>
        <rFont val="Arial CE"/>
        <family val="0"/>
      </rPr>
      <t>FRM - orj.0221</t>
    </r>
  </si>
  <si>
    <t>5139 Nákup materiálu orj. 0221</t>
  </si>
  <si>
    <t>5151 Studená voda - orj 0221</t>
  </si>
  <si>
    <r>
      <t xml:space="preserve">5152 Nákup tepla od fy ERDING </t>
    </r>
    <r>
      <rPr>
        <b/>
        <sz val="10"/>
        <rFont val="Arial CE"/>
        <family val="0"/>
      </rPr>
      <t>orj 0213 (K5+K6)+doúčtování Vusterm</t>
    </r>
  </si>
  <si>
    <t>5153 Plyn-část přefakturace - orj 0221</t>
  </si>
  <si>
    <t>5154 Elektr.energie-část přefakturace - orj. 0221</t>
  </si>
  <si>
    <t>5156 Pohonné hmoty a maziva (pic-up) - POPS orj 0221</t>
  </si>
  <si>
    <t>5162 Služby telekomunikací orj 0221</t>
  </si>
  <si>
    <t>5166 Konzultační, poradenské a právní služby orj. 0221</t>
  </si>
  <si>
    <t>5168 Upgrade SW na evidenci bytů</t>
  </si>
  <si>
    <t>5169 Nákup služeb-revize výtahů,komínů,hydrantů,hasičáků orj 0221</t>
  </si>
  <si>
    <r>
      <t xml:space="preserve">5169 Nákup ost.služeb-privatizace byt.fondu-IV.vlna, </t>
    </r>
    <r>
      <rPr>
        <b/>
        <sz val="10"/>
        <rFont val="Arial CE"/>
        <family val="0"/>
      </rPr>
      <t>FRM orj 0221</t>
    </r>
  </si>
  <si>
    <t>5171 Opravy a udrž.byt.domů města-orj.221</t>
  </si>
  <si>
    <r>
      <t>5199 Příspěvek města do SVJ -</t>
    </r>
    <r>
      <rPr>
        <b/>
        <sz val="10"/>
        <rFont val="Arial CE"/>
        <family val="0"/>
      </rPr>
      <t xml:space="preserve"> I., II. a III. vlna privat.-FRM</t>
    </r>
    <r>
      <rPr>
        <sz val="11"/>
        <color theme="1"/>
        <rFont val="Calibri"/>
        <family val="2"/>
      </rPr>
      <t xml:space="preserve"> (dříve5225) orj. 0221</t>
    </r>
  </si>
  <si>
    <r>
      <t>5361 Nákup kolků-pro vklad do KN-privatiz.BF města-</t>
    </r>
    <r>
      <rPr>
        <b/>
        <sz val="10"/>
        <rFont val="Arial CE"/>
        <family val="0"/>
      </rPr>
      <t>FRM-orj.221</t>
    </r>
  </si>
  <si>
    <r>
      <t>5362 Daň z přev.nemovit.-z příjmů z prodeje bytů-</t>
    </r>
    <r>
      <rPr>
        <b/>
        <sz val="10"/>
        <rFont val="Arial CE"/>
        <family val="0"/>
      </rPr>
      <t>FRM-orj.221</t>
    </r>
  </si>
  <si>
    <t>5362 Soudní poplatky-řešení pohledávek z byt.fondu orj. 0221</t>
  </si>
  <si>
    <t>3613 Nebytové hospod. - nebytové prostory města - orj. 0216</t>
  </si>
  <si>
    <t>3613 Nebytové hospodářství - nebyt.prostory města</t>
  </si>
  <si>
    <t>2111 Příjmy z poskyt.služeb-v nebytech č.p.120 ul.Brněnská -orj.0216</t>
  </si>
  <si>
    <t>5137 DHDM (do 40 tis. Kč/ks)-čekárenské lavice apod. - orj. 216</t>
  </si>
  <si>
    <t>2132 Příjmy z pronájmu ost.nemovit. - nájemné - or.j0216</t>
  </si>
  <si>
    <t>5137 DHDM (do 40 tis. Kč/ks)-server pro knihovnu - orj. 0531</t>
  </si>
  <si>
    <t>2133 Příj.z pronájmu movitých věcí (Úřad práce Brno-venkov)-orj0216</t>
  </si>
  <si>
    <t>5137 DHDM (do 40 tis. Kč/ks)-vybavení Radnice (učebna apod.) - orj. 0595</t>
  </si>
  <si>
    <t>2324 Přefakturace nákladů (vyúčtování energií za r. 2014) - orj.0216</t>
  </si>
  <si>
    <t>5137 DHDM (do 40 tis. Kč/ks)-vybavení Radnice FRM - orj. 0595</t>
  </si>
  <si>
    <t>5139 Nákup materiálu - orj. 216</t>
  </si>
  <si>
    <t>5139 Nákup materiálu - orj. 0595</t>
  </si>
  <si>
    <t>5139 Nákup materiálu - orj. 0595 FRM</t>
  </si>
  <si>
    <t>5151 Studená voda-část přefakturace - orj. 216</t>
  </si>
  <si>
    <r>
      <t>5152 Nákup tepla od fy</t>
    </r>
    <r>
      <rPr>
        <b/>
        <sz val="10"/>
        <rFont val="Arial CE"/>
        <family val="0"/>
      </rPr>
      <t xml:space="preserve"> (K1-VUSTERM) - (K4-ERDING) orj. 0216</t>
    </r>
  </si>
  <si>
    <t>5153 Plyn-částečná přefakturace orj 0216</t>
  </si>
  <si>
    <t>5154 Elektrická energie-část přefakturace - orj. 216</t>
  </si>
  <si>
    <t>5156 Pohonné hmoty a maziva</t>
  </si>
  <si>
    <t>5169 Nákup ost.služeb  - orj. 216</t>
  </si>
  <si>
    <t>5169 Nákup ost.služeb  - orj. 0365</t>
  </si>
  <si>
    <t>5171 Opravy a udržování nebyt.prostor města - orj. 216</t>
  </si>
  <si>
    <t>5171 Opravy a udržování nebyt.prostor města - orj. 0424</t>
  </si>
  <si>
    <t>5171 Bývalá MŠ Nová Ves-oprava budovy - orj. 533</t>
  </si>
  <si>
    <t>5172 Server pro knihovnu orj. 0531</t>
  </si>
  <si>
    <r>
      <t>6121 Stará radnice-Brněnská 2-PD-úprava kotel. na zázemí sálu-</t>
    </r>
    <r>
      <rPr>
        <b/>
        <sz val="10"/>
        <rFont val="Arial CE"/>
        <family val="0"/>
      </rPr>
      <t xml:space="preserve">329 </t>
    </r>
  </si>
  <si>
    <t>6121 Zateplení sálu Radnice orj.0365-dotační projekt</t>
  </si>
  <si>
    <t>6121 Kulturní dům Smolín-orj.424</t>
  </si>
  <si>
    <r>
      <t>6121 Budova Policie-Loděnická 754-</t>
    </r>
    <r>
      <rPr>
        <sz val="11"/>
        <color theme="1"/>
        <rFont val="Calibri"/>
        <family val="2"/>
      </rPr>
      <t>orj.492</t>
    </r>
  </si>
  <si>
    <t>6121 Lidická 232-Cukrárna Marta-izolace objektu orj 0505</t>
  </si>
  <si>
    <t>6121 Lidická 262-Kadeřnictví Bökr-izolace objektu orj 0509</t>
  </si>
  <si>
    <r>
      <t>6121 Stará radnice-Brněnská 2-PD-fasáda,okna,izol.-</t>
    </r>
    <r>
      <rPr>
        <b/>
        <sz val="10"/>
        <rFont val="Arial CE"/>
        <family val="0"/>
      </rPr>
      <t>orj.531</t>
    </r>
  </si>
  <si>
    <r>
      <t xml:space="preserve">6121 Stará radnice-Brněnská 2-II.etapa - </t>
    </r>
    <r>
      <rPr>
        <b/>
        <sz val="10"/>
        <rFont val="Arial CE"/>
        <family val="0"/>
      </rPr>
      <t>orj.567</t>
    </r>
  </si>
  <si>
    <t>6121 Brněnská 120-bezbariérový přístup a výtah v budově orj.0568</t>
  </si>
  <si>
    <t>6121 Nákup kotlů od Vustermu K1 + K4  orj. 0569</t>
  </si>
  <si>
    <t>6121 Interiér staré Radnice orj. 0595</t>
  </si>
  <si>
    <t>6121 Zateplení sálu Radnice Np0541,  orj.0365-dotační projekt</t>
  </si>
  <si>
    <t>6121 Zateplení sálu Radnice ÚZ15835, Np0545,  orj.0365</t>
  </si>
  <si>
    <t>6121 Zateplení sálu Radnice ÚZ90877, Np0541,  orj.0365</t>
  </si>
  <si>
    <t>6122 Interiér staré Radnice orj. 0595</t>
  </si>
  <si>
    <t>6125 Server pro knihovnu a kamerový systém Pohořelice orj. 0531</t>
  </si>
  <si>
    <r>
      <t xml:space="preserve">6121 Stará radnice-Brněnská 2-II.etapa - </t>
    </r>
    <r>
      <rPr>
        <b/>
        <sz val="10"/>
        <rFont val="Arial CE"/>
        <family val="0"/>
      </rPr>
      <t>orj.567 FRM</t>
    </r>
  </si>
  <si>
    <t>6121 Interiér staré Radnice orj. 0595 - FRM</t>
  </si>
  <si>
    <t>6122 Interiér staré Radnice orj. 0595 FRM</t>
  </si>
  <si>
    <t>3619 Fond rozvoje bydl.Pohoř.-FRB-(půjčky občanům)</t>
  </si>
  <si>
    <t>5660 Neinvest.půjčené prostředky obyvatelstvu</t>
  </si>
  <si>
    <t>6460 Investiční půjčené prostředky obyvatelstvu</t>
  </si>
  <si>
    <t>3631 Veřejné osvětlení</t>
  </si>
  <si>
    <t>3631 Veřejné osvětlení (VO)</t>
  </si>
  <si>
    <t>2111 Služby za plošinu a elektromontážní práce - bez orj.</t>
  </si>
  <si>
    <t>5011 Platy zaměstnanců-správa VO - orj. 233</t>
  </si>
  <si>
    <t>2132 Příjmy z pronájmu VO pro umístění reklam.poutačů - orj. 0300</t>
  </si>
  <si>
    <t>5031 Pojistné sociální-správa VO - orj. 233</t>
  </si>
  <si>
    <t>5032 Pojistné zdravotní-správa VO - orj. 233</t>
  </si>
  <si>
    <t>5137 DDHM (do 40tis.Kč/ks)-vánoční výzdoba ve městě orj 0233</t>
  </si>
  <si>
    <t>5139 Nákup materiálu orj 0233</t>
  </si>
  <si>
    <t>5139 Nákup materiálu orj 0233 FRM</t>
  </si>
  <si>
    <t>5154 Elektrická energie-za VO ve městě - orj. 233</t>
  </si>
  <si>
    <t>5156 Pohonné hmoty a maziva-plošina orj 0233</t>
  </si>
  <si>
    <t>5162 Služby telekomunikací orj 0233</t>
  </si>
  <si>
    <t>5167 Služby školení a vzdělávání orj 0233</t>
  </si>
  <si>
    <t>5169 Nákup ost.služeb-správa VO-orj. 233</t>
  </si>
  <si>
    <t>5171 Opravy a udržování VO - orj. 233</t>
  </si>
  <si>
    <t>5192 Poskyt. neinvest.příspěvky-platby vlastníkům rozvodů-orj. 233</t>
  </si>
  <si>
    <t>6121 VO-městský park-orj. 357</t>
  </si>
  <si>
    <t>6121 VO areál bývalých kasáren-PD+37 ks VO-orj. 520</t>
  </si>
  <si>
    <t>6121 VO-nasvícení přechodu před MěÚ Vídeňská,orj.562</t>
  </si>
  <si>
    <t>6121 VO U Cihelny-PD-orj. 0564</t>
  </si>
  <si>
    <t>6121 VO propojení park ul. Tyršova orj. 594</t>
  </si>
  <si>
    <t>6121 VO - nám. Svobody u bytových domů 840-844 orj. 599</t>
  </si>
  <si>
    <r>
      <t xml:space="preserve">5171 Oprava kabel.vedení 5xVO-ul.Vídeňská-bytovky(Pacasovi) - </t>
    </r>
    <r>
      <rPr>
        <b/>
        <sz val="10"/>
        <rFont val="Arial CE"/>
        <family val="0"/>
      </rPr>
      <t>FRM</t>
    </r>
  </si>
  <si>
    <t>5171 Oprava kabel.vedení 5xVO-ul.Vídeňská-bytovky (Pacasovi) orj. 233</t>
  </si>
  <si>
    <t>3632 Pohřebnictví - správa hřbitovů města orj. 0212</t>
  </si>
  <si>
    <t>3632 Pohřební služby - správa hřbitovů města - orj. 212</t>
  </si>
  <si>
    <t>2111 Příjmy z poskyt.služeb - za údržbu hřbitova - orj.0212</t>
  </si>
  <si>
    <t>5137 DDHM (do 40tis.Kč/ks) kolumbárium orj.0212</t>
  </si>
  <si>
    <t>2139 Příjmy z pronájmu hrobového místa a kolumbária - orj.0212</t>
  </si>
  <si>
    <t xml:space="preserve">5139 Nákup materiálu orj 0212  </t>
  </si>
  <si>
    <t>2310 Příjmy z prodeje hrobového příslušenství - orj.0212</t>
  </si>
  <si>
    <t>5154 Elektrická energie orj 0212</t>
  </si>
  <si>
    <t>5169 Nákup ost.služeb-kácení stromů orj. 0212</t>
  </si>
  <si>
    <t>5171 Opravy a udržování-zpevnění hlavní cesty,odvodnění orj 0212</t>
  </si>
  <si>
    <t>3633 Výstavba a údržba místních inženýrských sítí  bez orj.</t>
  </si>
  <si>
    <t>3633 Výstavba a údržba místních inženýrských sítí</t>
  </si>
  <si>
    <t>2119 Příjmy z vl.činnosti-za zřízení věcného břemene-JMP Net, E.on aj.</t>
  </si>
  <si>
    <t>5169 Zříz.věc.břem. pro IS(ÚZSVM aj.),kompenzace s JMP Net(Burza)</t>
  </si>
  <si>
    <t>2132 Příjmy z pronáj.ost.nemovit.-T-mobile CZ,kompenzace s JMP Net</t>
  </si>
  <si>
    <t>6121 Rozšíření kamer.a dat.systému na přest.terminálu IDS orj. 0446</t>
  </si>
  <si>
    <t>6121 Plynovod-PD-Stará Obec-orj.513</t>
  </si>
  <si>
    <t>6121 Plynovod-ke zdravotnímu středisku-Brněnská 1-orj.546</t>
  </si>
  <si>
    <t>6121 Plyn-ul.Znojem-řad A,orj.563 (h.Morava-Pacasovi)-vč.17 přípojek</t>
  </si>
  <si>
    <t>6313 Invest.transfery PO příspěvek na vybudování (E-on) bez orj</t>
  </si>
  <si>
    <t>3635 Územní plán města</t>
  </si>
  <si>
    <t>6119 Změna č. 10 ÚPD města (část nákladů uhradili žadatelé změny)</t>
  </si>
  <si>
    <t>6119 Změna č. 11 ÚPD města (územní rezerva)</t>
  </si>
  <si>
    <t>3636 Územní rozvoj</t>
  </si>
  <si>
    <t>5166 Územní zast.studie, studie a projekty rozvoje území města</t>
  </si>
  <si>
    <t>6130 Pozemky - výkup pozemků pro investiční výstavbu</t>
  </si>
  <si>
    <t>3639 Komunální služby a územní rozvoj</t>
  </si>
  <si>
    <t>3639 Komunální služby a územní rozvoj-údržba města</t>
  </si>
  <si>
    <t>2131 Příjmy z pronájmu pozemků - orj. 0300</t>
  </si>
  <si>
    <t>5011 Platy zaměstnanců (VPP) - orj. 213</t>
  </si>
  <si>
    <t>2324 Přijaté nekap.příspěvky a náhrady orj. 0215 (daň nemovit.2014-p.Ohera)</t>
  </si>
  <si>
    <t>5011 Platy zaměstnanců (údržba) - orj. 215</t>
  </si>
  <si>
    <t>3111 Příjmy z prodeje pozemků - orj. 0300</t>
  </si>
  <si>
    <r>
      <t>5011 Platy zaměstnanců (VPP)-dotace-</t>
    </r>
    <r>
      <rPr>
        <b/>
        <sz val="10"/>
        <rFont val="Arial CE"/>
        <family val="0"/>
      </rPr>
      <t>ÚZ 13101 orj. 0213</t>
    </r>
  </si>
  <si>
    <r>
      <t>3111 Příjmy z prodeje pozemků-pod byt.domy privatizace</t>
    </r>
    <r>
      <rPr>
        <b/>
        <sz val="8"/>
        <rFont val="Arial CE"/>
        <family val="0"/>
      </rPr>
      <t>-</t>
    </r>
    <r>
      <rPr>
        <b/>
        <sz val="10"/>
        <rFont val="Arial CE"/>
        <family val="0"/>
      </rPr>
      <t>orj.300-FRM</t>
    </r>
  </si>
  <si>
    <r>
      <t>5011 Platy zaměstnan.(VPP, orj. 213)-dotace-</t>
    </r>
    <r>
      <rPr>
        <b/>
        <sz val="10"/>
        <rFont val="Arial CE"/>
        <family val="0"/>
      </rPr>
      <t>ÚZ13234-15% Np0331</t>
    </r>
  </si>
  <si>
    <r>
      <t>5011 Platy zaměstnan.(VPP, orj. 213)-dotace-</t>
    </r>
    <r>
      <rPr>
        <b/>
        <sz val="10"/>
        <rFont val="Arial CE"/>
        <family val="0"/>
      </rPr>
      <t>ÚZ 13234-85%Np0335</t>
    </r>
  </si>
  <si>
    <t>5021 Ostatní osobní výdaje-dohody - orj. 215</t>
  </si>
  <si>
    <t>5031 Povinné pojistné - soc.zab. a zam. (VPP 18) - orj. 213</t>
  </si>
  <si>
    <t>5031 Povinné pojistné - soc.zab. a zaměst.(údržba) - orj. 215</t>
  </si>
  <si>
    <r>
      <t>5031 Pojistné soc. (VPP, orj. 213)-dotace-</t>
    </r>
    <r>
      <rPr>
        <b/>
        <sz val="10"/>
        <rFont val="Arial CE"/>
        <family val="0"/>
      </rPr>
      <t>ÚZ 13234-15% Np0331</t>
    </r>
  </si>
  <si>
    <r>
      <t>5031 Pojistné soc. (VPP, orj. 213)-dotace-</t>
    </r>
    <r>
      <rPr>
        <b/>
        <sz val="10"/>
        <rFont val="Arial CE"/>
        <family val="0"/>
      </rPr>
      <t>ÚZ 13234-85% Np0335</t>
    </r>
  </si>
  <si>
    <t>5032 Povinné pojistné - veř.zdrav.poj.-(VPP 18) - orj. 213</t>
  </si>
  <si>
    <t>5032 Povinné pojistné - veř.zdrav.poj. (údržba) - orj. 215</t>
  </si>
  <si>
    <r>
      <t>5032 Povinné pojistné - veř.zdrav.poj.-(VPP 18)-</t>
    </r>
    <r>
      <rPr>
        <b/>
        <sz val="10"/>
        <rFont val="Arial CE"/>
        <family val="0"/>
      </rPr>
      <t>ÚZ 13101 orj.213</t>
    </r>
  </si>
  <si>
    <r>
      <t>5032 Pojistné zdrav. (VPP, orj. 213)-dotace-</t>
    </r>
    <r>
      <rPr>
        <b/>
        <sz val="10"/>
        <rFont val="Arial CE"/>
        <family val="0"/>
      </rPr>
      <t>ÚZ 13234-15% Np0331</t>
    </r>
  </si>
  <si>
    <r>
      <t>5032 Pojistné zdrav. (VPP, orj. 213)-dotace-</t>
    </r>
    <r>
      <rPr>
        <b/>
        <sz val="10"/>
        <rFont val="Arial CE"/>
        <family val="0"/>
      </rPr>
      <t>ÚZ 13234-85% Np0335</t>
    </r>
  </si>
  <si>
    <t>5132 Ochranné pomůcky-monterky, prac.rukavice, prac.obuv-orj.215</t>
  </si>
  <si>
    <t>5134 Prádlo, oděv a obuv - ochranná přilba - orj. 215</t>
  </si>
  <si>
    <t>5136 Knihy, učební pomůcky a tisk orj. 0215</t>
  </si>
  <si>
    <t>5137 DDHM (do 40 tis. Kč/ks) - orj. 215</t>
  </si>
  <si>
    <t>5137 Doplnění městského mobiliáře (lavičky aj.) orj.218</t>
  </si>
  <si>
    <t xml:space="preserve">5139 Nákup materiálu - orj. 215 </t>
  </si>
  <si>
    <t>5139 Doplnění městského mobiliáře (odpadk.koše aj.) orj.218</t>
  </si>
  <si>
    <t>5153 Plyn</t>
  </si>
  <si>
    <t>5154 Elektrická energie orj.0215</t>
  </si>
  <si>
    <t>5156 Pohonné hmoty a maziva - orj. 215</t>
  </si>
  <si>
    <t>5162 Služby telekomunikací-telefon - orj. 215</t>
  </si>
  <si>
    <t>5163 Služby peněžních ústavů - pojištění - orj. 215</t>
  </si>
  <si>
    <t>5164 Nájemné (pozemky Poz.fondu ČR, ÚZSVM) orj. NENÍ</t>
  </si>
  <si>
    <t>5169 Nákup ost.služeb - orj. 215</t>
  </si>
  <si>
    <t>5171 Opravy a udržování techniky - orj. 215</t>
  </si>
  <si>
    <t>5175 Pohoštění (pitný režim v létě) - orj. 215</t>
  </si>
  <si>
    <t>5192 Poskytnuté náhrady (náhrada škody při sekání trávy) orj.0215</t>
  </si>
  <si>
    <r>
      <t xml:space="preserve">5329 Ost.neinv.dotace-DOS Čistá Jihlava - </t>
    </r>
    <r>
      <rPr>
        <b/>
        <sz val="10"/>
        <rFont val="Arial CE"/>
        <family val="0"/>
      </rPr>
      <t>orj. 183</t>
    </r>
  </si>
  <si>
    <t>5362 Daň z převodu nemovit.-souvisí s příjmy z prodeje nemovit.městem BEZ ORJ</t>
  </si>
  <si>
    <t>5424 Dočasná pracovní neschopnost (14 dní) orj 0213 VPP</t>
  </si>
  <si>
    <t>5424 Dočasná pracovní neschopnost (14 dní) orj. 0215</t>
  </si>
  <si>
    <t>5901 Zpracování programu rozvoje města na období 2015-2020 (MAS)</t>
  </si>
  <si>
    <t>6121 Informační nosič  orj. 0218</t>
  </si>
  <si>
    <t>6122 Stroje, přístroje, zařízení (kartáč na sníh pro zametací stroj bez orj.)</t>
  </si>
  <si>
    <t>3721 Sběr a svoz nebezpečných odpadů</t>
  </si>
  <si>
    <t xml:space="preserve">5169 Nákup ost.služeb - sběr </t>
  </si>
  <si>
    <t>3722 Sběr a svoz komunálních odpadů</t>
  </si>
  <si>
    <t>5137 Nákup kontejneru na TKO orj. 0404</t>
  </si>
  <si>
    <t>5139 Tabule "Zákaz ukládání odpadu pod pokutou" orj. 0403</t>
  </si>
  <si>
    <t xml:space="preserve">5169 Svoz kontejnerů - orj. 403 </t>
  </si>
  <si>
    <t>5169 Svoz a likvidace TKO - orj. 404</t>
  </si>
  <si>
    <t>3723 Sběr a svoz ostatních odpadů-shromažďovací místo odpadů</t>
  </si>
  <si>
    <t>3725 Využívání a zneškodňování komunálních odpadů</t>
  </si>
  <si>
    <t>5164 Nájemné (Stavosur)</t>
  </si>
  <si>
    <t>2310 Příjmy z prodeje krátkodobého a drob. dlouhodobého majetku</t>
  </si>
  <si>
    <t>5169 Svoz a likvidace TKO - tříděný-odpadní polystyrén (Stavosur) bez orj</t>
  </si>
  <si>
    <t>2329 Ost.nedaň.příjmy - za třídění odpadu EKO-KOM</t>
  </si>
  <si>
    <t>5169 Likvidace čern.skládek ve městě (V.Dvůr,Loděnická,Dlouhá) orj. 0220</t>
  </si>
  <si>
    <t>5169 Nákup ost. služeb orj. 0219</t>
  </si>
  <si>
    <t>3728 Monitoring nakládání s odpady</t>
  </si>
  <si>
    <t>5166 Monitoring podzemních vod v okolí bývalé skládky TKO Smolín</t>
  </si>
  <si>
    <t>3729 Ostatní nakládání s odpady</t>
  </si>
  <si>
    <t>5169 Likvidace černých skládek-čištění větrolamů myslivec.sdruž.</t>
  </si>
  <si>
    <t>5222 Neinv.transfer-Likvidace černých skládek(větrolamy)-myslivec.sdruž.</t>
  </si>
  <si>
    <t>6121 Sběrný dvůr Pohořelice - žádost o dotaci  - Orj. 0603</t>
  </si>
  <si>
    <t>3744 Ochrana proti povodním (Plán protip.opatření-PPO)</t>
  </si>
  <si>
    <t>5168 Služby serveru výstražného a vyroz.systému PPO (hladiny vod)</t>
  </si>
  <si>
    <t>5169 Digitální povodňový plán pro Pohořelice bez orj.</t>
  </si>
  <si>
    <t>5169 Digitální povodňový plán ORP Pohořelice-orj. 510</t>
  </si>
  <si>
    <t>5169 Protipovodňová opatřeni orj.0576</t>
  </si>
  <si>
    <t>5169 Digitální povodňový plán ORP Pohořelice-NP0541, orj. 510</t>
  </si>
  <si>
    <t>5169 Dig.povodňový plán ORP Pohořelice-ÚZ15309, NP0545, orj.510</t>
  </si>
  <si>
    <t>5169 Dig.povodňový plán ORP Pohořelice-ÚZ90001, NP0541, orj.510</t>
  </si>
  <si>
    <t>6119 PD odvod dešťových vod z R52 u Smolína, orj. 497</t>
  </si>
  <si>
    <t>3745 Péče o vzhled obcí a veřejnou zeleň</t>
  </si>
  <si>
    <t>2111 Příjmy z těžby dřeva svépomocí a prodeje palivového dřeva-bez orj.</t>
  </si>
  <si>
    <t>5139 Nákup stromků a keřů-dosadba zeleně ve městě</t>
  </si>
  <si>
    <t>5169 Nákup ost.služeb - prořez a kácení stromů</t>
  </si>
  <si>
    <t>5169 Regenerace městského parku orj. 0355</t>
  </si>
  <si>
    <t>5169 Založ.biokoridoru-p.č. 6073 k.ú.Pohoř.n/J.-dotač.projekt orj.0482</t>
  </si>
  <si>
    <t>5169 Park.plochy v býv.kasárnách-Np0531-způsobilé,orj.506</t>
  </si>
  <si>
    <t>5169 Větrolam v areálu TJ Sokol-způsobilé-Np0531-,orj.507</t>
  </si>
  <si>
    <t>5169 Revitalizace stromů na hřbitově-způsobilé-Np0531-orj.514</t>
  </si>
  <si>
    <t>5169 Regenerace městského parku ÚZ15319, Np0535, orj 0355</t>
  </si>
  <si>
    <t>3769 Ostatní správa v ochraně životního prostředí</t>
  </si>
  <si>
    <t>5169 Založení biokoridoru p.č.6073 ÚZ15319 Np0535 Orj 0482</t>
  </si>
  <si>
    <t>2211 Sankční platby přijaté</t>
  </si>
  <si>
    <t>5169 Park.plochy v býv.kasárnách-ÚZ15319, Np0535, orj.506</t>
  </si>
  <si>
    <t>2212 Sankční platby přijaté</t>
  </si>
  <si>
    <t>5169 Větrolam v areálu TJ Sokol-způsobilé-ÚZ15319, Np0535,orj.507</t>
  </si>
  <si>
    <t xml:space="preserve">2324 Přijaté nekapitálové příspěvky a náhrady </t>
  </si>
  <si>
    <t>5169 Revitalizace stromů na hřbitově-ÚZ15319, Np0535, orj.514</t>
  </si>
  <si>
    <t>5169 Regenerace městského parku ÚZ90001, Np0531, orj 0355</t>
  </si>
  <si>
    <t>5169 Založení biokoridoru p.č.6073 ÚZ90001 Np0531 Orj 0482</t>
  </si>
  <si>
    <t>5169 Park.plochy v býv.kasárnách-ÚZ90001, Np0531, orj.506</t>
  </si>
  <si>
    <t>5169 Větrolam v areálu TJ Sokol-způsobilé-ÚZ90001, Np0531,orj.507</t>
  </si>
  <si>
    <t>5169 Revitalizace stromů na hřbitově-ÚZ90001, Np0531, orj.514</t>
  </si>
  <si>
    <r>
      <t>6121 Park.plochy v ul. Polní-</t>
    </r>
    <r>
      <rPr>
        <b/>
        <sz val="10"/>
        <rFont val="Arial CE"/>
        <family val="0"/>
      </rPr>
      <t>část "C"</t>
    </r>
    <r>
      <rPr>
        <sz val="10"/>
        <rFont val="Arial CE"/>
        <family val="2"/>
      </rPr>
      <t>- orj.511</t>
    </r>
  </si>
  <si>
    <r>
      <t>6121 Park.plochy v ul. Polní-</t>
    </r>
    <r>
      <rPr>
        <b/>
        <sz val="10"/>
        <rFont val="Arial CE"/>
        <family val="0"/>
      </rPr>
      <t>část "C"</t>
    </r>
    <r>
      <rPr>
        <sz val="10"/>
        <rFont val="Arial CE"/>
        <family val="2"/>
      </rPr>
      <t>-Np.531-způsobilé,orj.511</t>
    </r>
  </si>
  <si>
    <r>
      <t>6121 Park.plochy v ul. Polní-</t>
    </r>
    <r>
      <rPr>
        <b/>
        <sz val="10"/>
        <rFont val="Arial CE"/>
        <family val="0"/>
      </rPr>
      <t>část "C"</t>
    </r>
    <r>
      <rPr>
        <sz val="10"/>
        <rFont val="Arial CE"/>
        <family val="2"/>
      </rPr>
      <t>-dotace-ÚZ</t>
    </r>
    <r>
      <rPr>
        <b/>
        <sz val="10"/>
        <rFont val="Arial CE"/>
        <family val="0"/>
      </rPr>
      <t>15827</t>
    </r>
    <r>
      <rPr>
        <sz val="10"/>
        <rFont val="Arial CE"/>
        <family val="2"/>
      </rPr>
      <t>,Np0535orj.511</t>
    </r>
  </si>
  <si>
    <r>
      <t>6121 Založení biocenter dle KPÚ-dotace-</t>
    </r>
    <r>
      <rPr>
        <b/>
        <sz val="10"/>
        <rFont val="Arial CE"/>
        <family val="0"/>
      </rPr>
      <t>ÚZ15827,Np0535orj.515</t>
    </r>
  </si>
  <si>
    <r>
      <t>6121 Park.plochy v ul.Polní-</t>
    </r>
    <r>
      <rPr>
        <b/>
        <sz val="10"/>
        <rFont val="Arial CE"/>
        <family val="0"/>
      </rPr>
      <t>část "C"</t>
    </r>
    <r>
      <rPr>
        <sz val="10"/>
        <rFont val="Arial CE"/>
        <family val="2"/>
      </rPr>
      <t>-dotace-</t>
    </r>
    <r>
      <rPr>
        <b/>
        <sz val="10"/>
        <rFont val="Arial CE"/>
        <family val="0"/>
      </rPr>
      <t>ÚZ90877</t>
    </r>
    <r>
      <rPr>
        <sz val="10"/>
        <rFont val="Arial CE"/>
        <family val="2"/>
      </rPr>
      <t>,Np0531orj.511</t>
    </r>
  </si>
  <si>
    <r>
      <t>6121 Založení biocenter dle KPÚ-dotace-</t>
    </r>
    <r>
      <rPr>
        <b/>
        <sz val="10"/>
        <rFont val="Arial CE"/>
        <family val="0"/>
      </rPr>
      <t>ÚZ90877</t>
    </r>
    <r>
      <rPr>
        <sz val="10"/>
        <rFont val="Arial CE"/>
        <family val="2"/>
      </rPr>
      <t>,Np0531</t>
    </r>
    <r>
      <rPr>
        <b/>
        <sz val="10"/>
        <rFont val="Arial CE"/>
        <family val="0"/>
      </rPr>
      <t>orj.515</t>
    </r>
  </si>
  <si>
    <t>3900 Ostatní činnosti související se službami pro obyvatelstvo</t>
  </si>
  <si>
    <t>2324 Projekt SMO - strategický rozvoj ORP Pohořelice-orj.0033-Np331</t>
  </si>
  <si>
    <t>5011 Projekt SMO - strateg.rozvoj ORP Pohoř.-orj. 33-NZ331 platy</t>
  </si>
  <si>
    <t>2324 Projekt SMO - strategický rozvoj ORP Pohořelice-orj.0033-Np335</t>
  </si>
  <si>
    <t>5011 Projekt SMO - strateg.rozvoj ORP Pohoř.-orj. 33-NZ335 platy</t>
  </si>
  <si>
    <t>5031 Projekt SMO - strateg.rozvoj ORP Pohoř.-orj. 33-NZ331 - SP</t>
  </si>
  <si>
    <t>5031 Projekt SMO - strateg.rozvoj ORP Pohoř.-orj. 33-NZ335 - SP</t>
  </si>
  <si>
    <t>5032 Projekt SMO - strateg.rozvoj ORP Pohoř.-orj. 33-NZ331 - ZP</t>
  </si>
  <si>
    <t>5032 Projekt SMO - strateg.rozvoj ORP Pohoř.-orj. 33-NZ335 - ZP</t>
  </si>
  <si>
    <t>5424 Projekt SMO-strateg.rozvoj ORP Pohoř.-orj. 33-NZ331-náhr.plat</t>
  </si>
  <si>
    <t>5424 Projekt SMO-strateg.rozvoj ORP Pohoř.-orj. 33-NZ335-náhr.plat</t>
  </si>
  <si>
    <t>4312 Odborné sociální poradenství</t>
  </si>
  <si>
    <t>5166 Poradna pro rodinu-kontakt.místo na MěÚ-MUDr. Trávníček</t>
  </si>
  <si>
    <t>4329 Ostatní sociální péče a pomoc dětem a mládeži</t>
  </si>
  <si>
    <t>5492 Dary obyvatelstvu</t>
  </si>
  <si>
    <t>4349 Ost.soc.péče a pomoc-Komunitní plánování soc.služeb</t>
  </si>
  <si>
    <t>5021 Dohody</t>
  </si>
  <si>
    <t>4350 Domovy pro seniory</t>
  </si>
  <si>
    <t>5339 Neinvest.dotace-Sociální služby města Kroměříže</t>
  </si>
  <si>
    <t>4351 Penzion - orj. 0210</t>
  </si>
  <si>
    <t>4351 Penzion - orj. 210</t>
  </si>
  <si>
    <t>2111 Příjmy z poskytování služeb, energií - orj. 0210</t>
  </si>
  <si>
    <t>5137 Nákup DHM do 40.000,-Kč orj. 210</t>
  </si>
  <si>
    <t>2132 Příjmy z pronájmu ost.nemovitostí - nájemné - orj.0210</t>
  </si>
  <si>
    <t>5139 Nákup materiálu orj. 0210</t>
  </si>
  <si>
    <t>2324 Vyúčtování energií-za r. 2013 - orj.0210</t>
  </si>
  <si>
    <t>5153 Plyn-přefakturace orj. 0210</t>
  </si>
  <si>
    <t>5154 Elektrická energie-přefakturace orj 0210</t>
  </si>
  <si>
    <t>5156 Pohonné hmoty a maziva orj. 0210</t>
  </si>
  <si>
    <t>5169 Nákup ostatních služeb-služby správce, revize apod. orj. 0210</t>
  </si>
  <si>
    <t>5171 Opravy a udrž.-oprava nájezdové (bezbarier.) rampy u vstupu 0210</t>
  </si>
  <si>
    <t>4351 Osobní asistence, pečovatelská služba</t>
  </si>
  <si>
    <t>5223 Neinvest.dotace-Charita Břeclav-zajištění pečov.služby</t>
  </si>
  <si>
    <t>4356 Denní stacionáře a centra denních služeb</t>
  </si>
  <si>
    <t>5223 Neinvest.dotace-Diakonie České alzheim.spol. Brno</t>
  </si>
  <si>
    <t>5229 Neinvest.dotace-Biliculum (denní stacionář pro postižené děti)</t>
  </si>
  <si>
    <t>4359 Pečovatelská služba</t>
  </si>
  <si>
    <t>4359 Ostatní služby a činnosti v oblasti sociální péče</t>
  </si>
  <si>
    <t>2111 Příjmy z poskyt.pečovat.služeb, rozvoz obědů orj 0211</t>
  </si>
  <si>
    <t>5169 Rozvoz obědů seniorům - orj. 211</t>
  </si>
  <si>
    <t>4371 Ranná péče a soc. aktivizační služby pro rodiny s dětmi</t>
  </si>
  <si>
    <t>5222 Neinvest.dotace-Středisko rané péče SPRP Brno</t>
  </si>
  <si>
    <t>5223 Neinvestiční dotace Slezská diakonie DOREA</t>
  </si>
  <si>
    <t>4374 Azylové domy</t>
  </si>
  <si>
    <r>
      <t xml:space="preserve">5223 Neinvest.dotace na provoz-Domov sv. Agáty - </t>
    </r>
    <r>
      <rPr>
        <b/>
        <sz val="10"/>
        <rFont val="Arial CE"/>
        <family val="0"/>
      </rPr>
      <t>orj. 433</t>
    </r>
  </si>
  <si>
    <t>4399 Ostat. Záležitosti soc. věcí a politiky zaměstnanosti</t>
  </si>
  <si>
    <t>2329 Ostat.nedaň.příjmy jinde nezařazené (recepty omamné látky)</t>
  </si>
  <si>
    <t>5139 Nákup materiálu  (recepty omamné látky)</t>
  </si>
  <si>
    <t>5212 Ochrana obyvatelstva-krizové situace</t>
  </si>
  <si>
    <t>5175 Pohoštění -HZS, Policie ČR</t>
  </si>
  <si>
    <t>5901 Nespecifikovaná rezerva</t>
  </si>
  <si>
    <t>5311 Městská policie orj. 0209</t>
  </si>
  <si>
    <t>5311 Městská policie - orj. 209</t>
  </si>
  <si>
    <t>2212 Přijaté sankční platby - pokuty MP orj 0209</t>
  </si>
  <si>
    <t>5011 Platy zaměstnanců orj. 0209</t>
  </si>
  <si>
    <t>5031 Povinné pojistné - soc.zab. a zaměstnanost orj. 0209</t>
  </si>
  <si>
    <t>5032 Povinné pojistné - veř.zdrav.poj. Orj. 0209</t>
  </si>
  <si>
    <t>5134 Prádlo, oděv a obuv-stejnokroj strážníka orj. 0209</t>
  </si>
  <si>
    <t>5136 Knihy, učební pomůcky a tisk orj 0209</t>
  </si>
  <si>
    <t>5137 Drobný hmotný dlouhodobý majetek (do 40 tis. Kč/ks) orj. 0209</t>
  </si>
  <si>
    <t>5139 Nákup materiálu orj. 0209</t>
  </si>
  <si>
    <t>5156 Pohonné hmoty a maziva orj 0209</t>
  </si>
  <si>
    <t>5162 Služby telekomunikací - telefon orj. 0209</t>
  </si>
  <si>
    <t>5167 Služby školení a vzdělávání - orj. 0209</t>
  </si>
  <si>
    <t>5168 Zprac.dat a služby související s inform.a komunikač.technolog.orj 0209</t>
  </si>
  <si>
    <t>5169 Nákup ost.služeb orj. 0209</t>
  </si>
  <si>
    <t>5171 Opravy a udržování orj 0209</t>
  </si>
  <si>
    <r>
      <t>5172 Software-</t>
    </r>
    <r>
      <rPr>
        <b/>
        <sz val="10"/>
        <rFont val="Arial CE"/>
        <family val="0"/>
      </rPr>
      <t>FRM orj. 0209</t>
    </r>
  </si>
  <si>
    <t>5173 Cestovné orj. 0209</t>
  </si>
  <si>
    <t>5175 Občerstvení orj. 0209</t>
  </si>
  <si>
    <t>5424 Dočasná pracovní neschopnost (14 dní) orj. 0209</t>
  </si>
  <si>
    <t>5399 Ostatní záležitosti bezpečnosti, veřejného pořádku</t>
  </si>
  <si>
    <t>5021 Ostatní osobní výdaje ÚZ00539 orj.0473</t>
  </si>
  <si>
    <t>5137 Senioři Pohořelice 2015 (prevence kriminality-dotace) orj. 0473</t>
  </si>
  <si>
    <t>5139 Nákup materiálu ÚZ00539 orj. 0473</t>
  </si>
  <si>
    <t>5169 Senioři Pohořelice 2015 (prevence krimin.-dotace) ÚZ00539 orj.0473</t>
  </si>
  <si>
    <t>5512 Jednotka sboru dobrov.hasičů Pohořelice-p.Čermák</t>
  </si>
  <si>
    <t>5137 DHDM (do 40 tis. Kč/ks)</t>
  </si>
  <si>
    <t>5137 DHDM (do 40 tis. Kč/ks) orj. 0319 SDH Smolín</t>
  </si>
  <si>
    <t>5139 Nákup materiálu orj 0319 SDH Smolín</t>
  </si>
  <si>
    <t>5156 Pohonné hmoty a maziva orj 0319 SDH Smolín</t>
  </si>
  <si>
    <t>5163 Služby peněžních ústavů - pojištění sboru</t>
  </si>
  <si>
    <t>5163 Služby peněžních ústavů orj. 0319 (pojištění aut)</t>
  </si>
  <si>
    <t>5167 Služby školení a vzdělávání</t>
  </si>
  <si>
    <t>5169 Sbor dobrovolných hasičů Smolín-(p.Nevěděl) - orj. 319</t>
  </si>
  <si>
    <t>5171 Opravy a udržování-technika, zázemí</t>
  </si>
  <si>
    <t>5175 Pohoštění orj.0319 SDH Smolín</t>
  </si>
  <si>
    <t>5222 Neinvest. transfer spolkům - SDH Smolín orj. 0319</t>
  </si>
  <si>
    <t>5519 Hasičský záchranný sbor-profesionální - orj. 0318</t>
  </si>
  <si>
    <t>5519 Hasičský záchranný sbor-profi-p.Pokorný-ul.Tyršova</t>
  </si>
  <si>
    <t>2321 Fin.dary od firem hasičům r.2015 - orj 0318</t>
  </si>
  <si>
    <t>5139 Nákup materiálu - orj. 318</t>
  </si>
  <si>
    <t>3121 Fin.dar hasičůlm na pořízení DHM r.2015 - orj 0318</t>
  </si>
  <si>
    <t>5169 Nákup ost.služeb - orj. 318</t>
  </si>
  <si>
    <t>5171 Opravy a udržování - orj. 318</t>
  </si>
  <si>
    <t>5222 Roční členský příspěvek v okres. sdružení has.</t>
  </si>
  <si>
    <t>6121 Zateplení fasády a střechy zbrojnice-orj.318</t>
  </si>
  <si>
    <t>6112 Zastupitelstvo města - orj. 206</t>
  </si>
  <si>
    <t>5023 Odměny členů ZM (vč.starosty a místostarosty) orj. 0206</t>
  </si>
  <si>
    <t>5031 Povinné pojistné - soc.zab. a zaměstnanost orj. 0206</t>
  </si>
  <si>
    <t>5032 Povinné pojistné - veř.zdrav.poj. Orj. 0206</t>
  </si>
  <si>
    <t>5173 Cestovné orj. 0206</t>
  </si>
  <si>
    <t>6171 Činnost místní správy - obec III.</t>
  </si>
  <si>
    <t>2111 Příjmy z poskytování služeb a výrobků (kopírování) - orj. 0207</t>
  </si>
  <si>
    <t>5011 Platy zaměstnanců - orj. 207</t>
  </si>
  <si>
    <t>2132 Příjmy z pronájmu ostatních nemovitostí orj. 0207</t>
  </si>
  <si>
    <t>5011 Ostatní osobní výdaje-svatební obřady - orj. 702</t>
  </si>
  <si>
    <t>2133 Příjmy z pronájmu movitých věcí - orj. 0207</t>
  </si>
  <si>
    <r>
      <t xml:space="preserve">5011 Platy zaměstnanců - </t>
    </r>
    <r>
      <rPr>
        <b/>
        <sz val="10"/>
        <rFont val="Arial CE"/>
        <family val="2"/>
      </rPr>
      <t xml:space="preserve">ÚZ 13011 </t>
    </r>
    <r>
      <rPr>
        <sz val="10"/>
        <rFont val="Arial CE"/>
        <family val="2"/>
      </rPr>
      <t>- orj. 207</t>
    </r>
  </si>
  <si>
    <r>
      <t>2212 Přijaté sankční platby-pokuty MěÚ</t>
    </r>
    <r>
      <rPr>
        <sz val="11"/>
        <color theme="1"/>
        <rFont val="Calibri"/>
        <family val="2"/>
      </rPr>
      <t>(vč. radaru a úsek.měření) 0207</t>
    </r>
  </si>
  <si>
    <r>
      <t xml:space="preserve">5011 Platy zaměstnanců - </t>
    </r>
    <r>
      <rPr>
        <b/>
        <sz val="10"/>
        <rFont val="Arial CE"/>
        <family val="2"/>
      </rPr>
      <t xml:space="preserve">ÚZ 13015 </t>
    </r>
    <r>
      <rPr>
        <sz val="10"/>
        <rFont val="Arial CE"/>
        <family val="2"/>
      </rPr>
      <t>- orj. 0361</t>
    </r>
  </si>
  <si>
    <t>2310 Příjmy z prodeje-pohlednice,tur.známky,knihy,odznáčky-orj 0207</t>
  </si>
  <si>
    <r>
      <t xml:space="preserve">5011 Platy zaměstnanců - </t>
    </r>
    <r>
      <rPr>
        <b/>
        <sz val="10"/>
        <rFont val="Arial CE"/>
        <family val="2"/>
      </rPr>
      <t xml:space="preserve">ÚZ 13233 </t>
    </r>
    <r>
      <rPr>
        <sz val="10"/>
        <rFont val="Arial CE"/>
        <family val="2"/>
      </rPr>
      <t>- Np.0331 Orj. 0360 ORG 0001</t>
    </r>
  </si>
  <si>
    <t>2322 Pojistné plnění     orj.0207</t>
  </si>
  <si>
    <r>
      <t xml:space="preserve">5011 Platy zaměstnanců - </t>
    </r>
    <r>
      <rPr>
        <b/>
        <sz val="10"/>
        <rFont val="Arial CE"/>
        <family val="2"/>
      </rPr>
      <t xml:space="preserve">ÚZ 13233 </t>
    </r>
    <r>
      <rPr>
        <sz val="10"/>
        <rFont val="Arial CE"/>
        <family val="2"/>
      </rPr>
      <t>- Np.0335 Orj. 0360 ORG 0001</t>
    </r>
  </si>
  <si>
    <t>2324 Přefakt.energií,úhrada nákladů přest.komisí, radar - orj. 0207</t>
  </si>
  <si>
    <t>5021 Ostatní osobní výdaje - orj. 207</t>
  </si>
  <si>
    <t>2328 Neidentifikované příjmy - orj. 0207</t>
  </si>
  <si>
    <t>5021 Ostatní osobní výdaje-svatební obřady - orj. 702</t>
  </si>
  <si>
    <t>2329 Ost.nedaň.příjmy-poplatek za svatby - orj. 0207</t>
  </si>
  <si>
    <r>
      <t xml:space="preserve">5021 Ost. Osobní výdaje - </t>
    </r>
    <r>
      <rPr>
        <b/>
        <sz val="10"/>
        <rFont val="Arial CE"/>
        <family val="2"/>
      </rPr>
      <t>UZ 13233</t>
    </r>
    <r>
      <rPr>
        <sz val="10"/>
        <rFont val="Arial CE"/>
        <family val="2"/>
      </rPr>
      <t xml:space="preserve"> Np0331 orj. 0360</t>
    </r>
  </si>
  <si>
    <t>,</t>
  </si>
  <si>
    <r>
      <t>5021 Ost. Osobní výdaje -</t>
    </r>
    <r>
      <rPr>
        <b/>
        <sz val="10"/>
        <rFont val="Arial CE"/>
        <family val="2"/>
      </rPr>
      <t xml:space="preserve"> UZ 13233</t>
    </r>
    <r>
      <rPr>
        <sz val="10"/>
        <rFont val="Arial CE"/>
        <family val="2"/>
      </rPr>
      <t xml:space="preserve"> Np0335 orj. 0360</t>
    </r>
  </si>
  <si>
    <t>5031 Povinné pojistné - soc.zab. a zaměstnanost - orj. 207</t>
  </si>
  <si>
    <r>
      <t>5031 Povinné SP -</t>
    </r>
    <r>
      <rPr>
        <b/>
        <sz val="10"/>
        <rFont val="Arial CE"/>
        <family val="2"/>
      </rPr>
      <t xml:space="preserve"> UZ 13011</t>
    </r>
    <r>
      <rPr>
        <sz val="10"/>
        <rFont val="Arial CE"/>
        <family val="2"/>
      </rPr>
      <t xml:space="preserve"> orj. 207</t>
    </r>
  </si>
  <si>
    <r>
      <t>5031 Povinné SP -</t>
    </r>
    <r>
      <rPr>
        <b/>
        <sz val="10"/>
        <rFont val="Arial CE"/>
        <family val="2"/>
      </rPr>
      <t xml:space="preserve"> UZ 13015</t>
    </r>
    <r>
      <rPr>
        <sz val="10"/>
        <rFont val="Arial CE"/>
        <family val="2"/>
      </rPr>
      <t xml:space="preserve"> orj. 0361</t>
    </r>
  </si>
  <si>
    <r>
      <t>5031 Povinné SP -</t>
    </r>
    <r>
      <rPr>
        <b/>
        <sz val="10"/>
        <rFont val="Arial CE"/>
        <family val="2"/>
      </rPr>
      <t xml:space="preserve"> UZ 13233</t>
    </r>
    <r>
      <rPr>
        <sz val="10"/>
        <rFont val="Arial CE"/>
        <family val="2"/>
      </rPr>
      <t xml:space="preserve"> Np0331 orj. 0360</t>
    </r>
  </si>
  <si>
    <r>
      <t xml:space="preserve">5031 Povinné SP - </t>
    </r>
    <r>
      <rPr>
        <b/>
        <sz val="10"/>
        <rFont val="Arial CE"/>
        <family val="2"/>
      </rPr>
      <t>UZ 13233</t>
    </r>
    <r>
      <rPr>
        <sz val="10"/>
        <rFont val="Arial CE"/>
        <family val="2"/>
      </rPr>
      <t xml:space="preserve"> Np0335 orj. 0360</t>
    </r>
  </si>
  <si>
    <t>5032 Povinné pojistné - veř.zdrav.poj. - orj. 207</t>
  </si>
  <si>
    <r>
      <t xml:space="preserve">5032 Povinné ZP - </t>
    </r>
    <r>
      <rPr>
        <b/>
        <sz val="10"/>
        <rFont val="Arial CE"/>
        <family val="2"/>
      </rPr>
      <t>UZ 13011</t>
    </r>
    <r>
      <rPr>
        <sz val="10"/>
        <rFont val="Arial CE"/>
        <family val="2"/>
      </rPr>
      <t xml:space="preserve"> orj. 207</t>
    </r>
  </si>
  <si>
    <r>
      <t xml:space="preserve">5032 Povinné ZP - </t>
    </r>
    <r>
      <rPr>
        <b/>
        <sz val="10"/>
        <rFont val="Arial CE"/>
        <family val="2"/>
      </rPr>
      <t>UZ 13015</t>
    </r>
    <r>
      <rPr>
        <sz val="10"/>
        <rFont val="Arial CE"/>
        <family val="2"/>
      </rPr>
      <t xml:space="preserve"> orj. 0361</t>
    </r>
  </si>
  <si>
    <r>
      <t xml:space="preserve">5032 Povinné ZP - </t>
    </r>
    <r>
      <rPr>
        <b/>
        <sz val="10"/>
        <rFont val="Arial CE"/>
        <family val="2"/>
      </rPr>
      <t>UZ 13233</t>
    </r>
    <r>
      <rPr>
        <sz val="10"/>
        <rFont val="Arial CE"/>
        <family val="2"/>
      </rPr>
      <t xml:space="preserve"> Np0331 orj. 0360</t>
    </r>
  </si>
  <si>
    <r>
      <t>5032 Povinné ZP -</t>
    </r>
    <r>
      <rPr>
        <b/>
        <sz val="10"/>
        <rFont val="Arial CE"/>
        <family val="2"/>
      </rPr>
      <t xml:space="preserve"> UZ 13233</t>
    </r>
    <r>
      <rPr>
        <sz val="10"/>
        <rFont val="Arial CE"/>
        <family val="2"/>
      </rPr>
      <t xml:space="preserve"> Np0335 orj. 0360</t>
    </r>
  </si>
  <si>
    <t>5038 Povinné pojistné hrazené zaměstnavatel. za prac.úrazy orj.0207</t>
  </si>
  <si>
    <t>5132 Ochranné pomůcky - prac.rukavice - orj. 207</t>
  </si>
  <si>
    <t>5133 Lékárničky-orj. 207</t>
  </si>
  <si>
    <t>5136 Knihy, učební pomůcky a tisk - orj. 207</t>
  </si>
  <si>
    <r>
      <t xml:space="preserve">5136 Knihy, učební pomůcky - </t>
    </r>
    <r>
      <rPr>
        <b/>
        <sz val="10"/>
        <rFont val="Arial CE"/>
        <family val="2"/>
      </rPr>
      <t>ÚZ 13011</t>
    </r>
    <r>
      <rPr>
        <sz val="10"/>
        <rFont val="Arial CE"/>
        <family val="2"/>
      </rPr>
      <t xml:space="preserve"> Orj. 0207</t>
    </r>
  </si>
  <si>
    <r>
      <t xml:space="preserve">5136 Knihy, učební pomůcky - </t>
    </r>
    <r>
      <rPr>
        <b/>
        <sz val="10"/>
        <rFont val="Arial CE"/>
        <family val="2"/>
      </rPr>
      <t xml:space="preserve">ÚZ 13233 </t>
    </r>
    <r>
      <rPr>
        <sz val="10"/>
        <rFont val="Arial CE"/>
        <family val="2"/>
      </rPr>
      <t>- Np.0331 Orj. 0360</t>
    </r>
  </si>
  <si>
    <r>
      <t xml:space="preserve">5136 Knihy, učební pomůcky - </t>
    </r>
    <r>
      <rPr>
        <b/>
        <sz val="10"/>
        <rFont val="Arial CE"/>
        <family val="2"/>
      </rPr>
      <t xml:space="preserve">ÚZ 13233 </t>
    </r>
    <r>
      <rPr>
        <sz val="10"/>
        <rFont val="Arial CE"/>
        <family val="2"/>
      </rPr>
      <t>- Np.0335 Orj. 0360</t>
    </r>
  </si>
  <si>
    <t>5137 DHDM (do 40 tis. Kč/ks)-obnova PC, vybavení - orj. 207</t>
  </si>
  <si>
    <r>
      <t>5137 Dig.úřad pro nové tisícil.-DHDM (do 40 tis. Kč/ks) -</t>
    </r>
    <r>
      <rPr>
        <b/>
        <sz val="10"/>
        <rFont val="Arial CE"/>
        <family val="0"/>
      </rPr>
      <t xml:space="preserve"> Np 0361 orj. 0224</t>
    </r>
  </si>
  <si>
    <r>
      <t xml:space="preserve">5137 DHDM (do 40 tis. Kč/ks) - </t>
    </r>
    <r>
      <rPr>
        <b/>
        <sz val="10"/>
        <rFont val="Arial CE"/>
        <family val="2"/>
      </rPr>
      <t xml:space="preserve">ÚZ 13011 </t>
    </r>
    <r>
      <rPr>
        <sz val="10"/>
        <rFont val="Arial CE"/>
        <family val="2"/>
      </rPr>
      <t>- orj. 207</t>
    </r>
  </si>
  <si>
    <r>
      <t xml:space="preserve">5137 DHDM (do 40 tis. Kč/ks </t>
    </r>
    <r>
      <rPr>
        <b/>
        <sz val="10"/>
        <rFont val="Arial CE"/>
        <family val="2"/>
      </rPr>
      <t>ÚZ 13233 Np 0331 Orj. 0360 ORG0001</t>
    </r>
  </si>
  <si>
    <r>
      <t xml:space="preserve">5137 DHDM (do 40 tis. Kč/ks </t>
    </r>
    <r>
      <rPr>
        <b/>
        <sz val="10"/>
        <rFont val="Arial CE"/>
        <family val="2"/>
      </rPr>
      <t>ÚZ 13233 Np 0335 Orj. 0360 ORG0001</t>
    </r>
  </si>
  <si>
    <r>
      <t>5137 Dig.úřad pro nové tisícil.-DHDM</t>
    </r>
    <r>
      <rPr>
        <b/>
        <sz val="10"/>
        <rFont val="Arial CE"/>
        <family val="0"/>
      </rPr>
      <t xml:space="preserve"> ÚZ17003 Np 0361 orj. 0224</t>
    </r>
  </si>
  <si>
    <r>
      <t xml:space="preserve">5137 DHDM (do 40 tis. Kč/ks </t>
    </r>
    <r>
      <rPr>
        <b/>
        <sz val="10"/>
        <rFont val="Arial CE"/>
        <family val="2"/>
      </rPr>
      <t>ÚZ 27003</t>
    </r>
    <r>
      <rPr>
        <sz val="11"/>
        <color theme="1"/>
        <rFont val="Calibri"/>
        <family val="2"/>
      </rPr>
      <t>-pro registr vozidel orj. 0207</t>
    </r>
  </si>
  <si>
    <r>
      <t xml:space="preserve">5137 DHDM (do 40 tis. Kč/ks </t>
    </r>
    <r>
      <rPr>
        <b/>
        <sz val="10"/>
        <rFont val="Arial CE"/>
        <family val="2"/>
      </rPr>
      <t>ÚZ 27003</t>
    </r>
    <r>
      <rPr>
        <sz val="11"/>
        <color theme="1"/>
        <rFont val="Calibri"/>
        <family val="2"/>
      </rPr>
      <t>-pro registr vozidel orj. 0706</t>
    </r>
  </si>
  <si>
    <t>5139 Nákup materiálu ostatní - orj. 207</t>
  </si>
  <si>
    <t>5139 Nákup materiálu - kancelářské potřeby apod. - orj.420</t>
  </si>
  <si>
    <t>5139 Nákup materiálu - čistící prostředky - orj. 452</t>
  </si>
  <si>
    <r>
      <t xml:space="preserve">5139 Nákup materiálu </t>
    </r>
    <r>
      <rPr>
        <b/>
        <sz val="10"/>
        <rFont val="Arial CE"/>
        <family val="0"/>
      </rPr>
      <t>ÚZ 13011 orj. 0207</t>
    </r>
  </si>
  <si>
    <r>
      <t xml:space="preserve">5139 Nákup materiálu </t>
    </r>
    <r>
      <rPr>
        <b/>
        <sz val="10"/>
        <rFont val="Arial CE"/>
        <family val="0"/>
      </rPr>
      <t>ÚZ 13233 Np0331 orj. 0360 ORG0001</t>
    </r>
  </si>
  <si>
    <r>
      <t xml:space="preserve">5139 Nákup materiáli </t>
    </r>
    <r>
      <rPr>
        <b/>
        <sz val="10"/>
        <rFont val="Arial CE"/>
        <family val="2"/>
      </rPr>
      <t>ÚZ 13233</t>
    </r>
    <r>
      <rPr>
        <sz val="10"/>
        <rFont val="Arial CE"/>
        <family val="2"/>
      </rPr>
      <t xml:space="preserve"> Np0335 orj. 0360 ORG0001</t>
    </r>
  </si>
  <si>
    <t>5141 Úroky z úvěru na pořízení sídla obce III. a zbytku areálu VÚVZ - orj. 207</t>
  </si>
  <si>
    <t>5151 Studená voda-část přefakturace-nebyty pavilon B-orj.207</t>
  </si>
  <si>
    <t>5153 Plyn-část přefakturace-nebyty pavilon B - orj. 207</t>
  </si>
  <si>
    <t>5154 Elektrická energie-část přefakturace-nebyty pavilon B - orj. 207</t>
  </si>
  <si>
    <t>5156 PHM-auta Favorit,Forman,Fabia Combi 3x - orj. 207</t>
  </si>
  <si>
    <t>5161 Služby pošt (poštovné) -  orj. 207</t>
  </si>
  <si>
    <t>5162 Služby telekomunikací - telefon, internet - orj. 207</t>
  </si>
  <si>
    <t>5163 Služby peněžních ústavů - pojištění vozidel a majetku - orj. 207</t>
  </si>
  <si>
    <t>5164 Nájemné - orj. 207</t>
  </si>
  <si>
    <t>5166 Konzultační, poradenské a právní služby - orj. 207</t>
  </si>
  <si>
    <t>5166 Konzultační služby-Dig.úřad pro nové tisíciletí  orj.0224</t>
  </si>
  <si>
    <t>5166 Konzultační služby-Dig.úřad pro nové tisíciletí NP0361, orj.0224</t>
  </si>
  <si>
    <t>5167 Služby školení a vzdělávání - orj. 207</t>
  </si>
  <si>
    <t>5167 Služby školení a vzdělávání - ÚZ13011 orj. 0207</t>
  </si>
  <si>
    <t>5167 Služby školení a vzdělávání - ÚZ13233 Np0331 orj. 0360</t>
  </si>
  <si>
    <t>5167 Služby školení a vzdělávání - ÚZ13233 Np0335 orj. 0360</t>
  </si>
  <si>
    <t>5168 Zprac.dat a služby související s inform.a komunikač.technolog.</t>
  </si>
  <si>
    <t>5169 Nákup ost.služeb - orj. 207</t>
  </si>
  <si>
    <r>
      <t xml:space="preserve">5169 Nákup ost.služeb - orj. 205   </t>
    </r>
    <r>
      <rPr>
        <b/>
        <sz val="10"/>
        <rFont val="Arial CE"/>
        <family val="0"/>
      </rPr>
      <t>SF (236 0100)</t>
    </r>
  </si>
  <si>
    <r>
      <t xml:space="preserve">5169 Nákup ost.služeb - orj. 207   </t>
    </r>
    <r>
      <rPr>
        <b/>
        <sz val="10"/>
        <rFont val="Arial CE"/>
        <family val="0"/>
      </rPr>
      <t>SF (236 0100)</t>
    </r>
  </si>
  <si>
    <t>5169 Nákup ost.služeb (radar) - orj. 706</t>
  </si>
  <si>
    <r>
      <t>5169 Nákup ost.služeb</t>
    </r>
    <r>
      <rPr>
        <b/>
        <sz val="10"/>
        <rFont val="Arial CE"/>
        <family val="2"/>
      </rPr>
      <t xml:space="preserve"> Np 0361 </t>
    </r>
    <r>
      <rPr>
        <sz val="10"/>
        <rFont val="Arial CE"/>
        <family val="2"/>
      </rPr>
      <t>orj. 0224</t>
    </r>
  </si>
  <si>
    <r>
      <t>5169 Nákup ost.služeb</t>
    </r>
    <r>
      <rPr>
        <b/>
        <sz val="10"/>
        <rFont val="Arial CE"/>
        <family val="2"/>
      </rPr>
      <t xml:space="preserve"> UZ 13011</t>
    </r>
    <r>
      <rPr>
        <sz val="10"/>
        <rFont val="Arial CE"/>
        <family val="2"/>
      </rPr>
      <t xml:space="preserve"> orj. 0207</t>
    </r>
  </si>
  <si>
    <r>
      <t>5169 Nákup ost.služeb</t>
    </r>
    <r>
      <rPr>
        <b/>
        <sz val="10"/>
        <rFont val="Arial CE"/>
        <family val="2"/>
      </rPr>
      <t xml:space="preserve"> Np 0365 </t>
    </r>
    <r>
      <rPr>
        <sz val="10"/>
        <rFont val="Arial CE"/>
        <family val="2"/>
      </rPr>
      <t>orj. 0224</t>
    </r>
  </si>
  <si>
    <t>5171 Opravy a udržování - orj. 207</t>
  </si>
  <si>
    <t>5172 Programové vybavení - software - orj. 207</t>
  </si>
  <si>
    <t>5175 Pohoštění (nápoje) pro RM,ZM,návštěvy vedení města-orj.207</t>
  </si>
  <si>
    <r>
      <t xml:space="preserve">5175 Pohoštění </t>
    </r>
    <r>
      <rPr>
        <b/>
        <sz val="10"/>
        <rFont val="Arial CE"/>
        <family val="2"/>
      </rPr>
      <t>ÚZ 13233</t>
    </r>
    <r>
      <rPr>
        <sz val="10"/>
        <rFont val="Arial CE"/>
        <family val="2"/>
      </rPr>
      <t xml:space="preserve"> Np0331 orj. 0360 ORG0001</t>
    </r>
  </si>
  <si>
    <r>
      <t xml:space="preserve">5175 Pohoštění </t>
    </r>
    <r>
      <rPr>
        <b/>
        <sz val="10"/>
        <rFont val="Arial CE"/>
        <family val="2"/>
      </rPr>
      <t>ÚZ13233</t>
    </r>
    <r>
      <rPr>
        <sz val="10"/>
        <rFont val="Arial CE"/>
        <family val="2"/>
      </rPr>
      <t xml:space="preserve"> Np0335 orj. 0360 ORG0001</t>
    </r>
  </si>
  <si>
    <t>5176 Účastnické poplatky na konferencích - orj. 207</t>
  </si>
  <si>
    <r>
      <t xml:space="preserve">5179 Ostatní nákupy-soc.fond orj.0207 účet </t>
    </r>
    <r>
      <rPr>
        <b/>
        <sz val="10"/>
        <rFont val="Arial CE"/>
        <family val="2"/>
      </rPr>
      <t>SF</t>
    </r>
  </si>
  <si>
    <t>5179 Ostatní nákupy-svatební obřady - orj. 702</t>
  </si>
  <si>
    <t>5182 Poskytnuté zálohy vlastní pokladně-nerozpočtuje se orj.0207</t>
  </si>
  <si>
    <t>5189 Ostatní poskytované zálohy</t>
  </si>
  <si>
    <t>5192 Poskytnuté neinvest.příspěvky - orj. 0207 (SVĚDEČNÉ)</t>
  </si>
  <si>
    <t>5194 Věcné dary - orj. 207</t>
  </si>
  <si>
    <r>
      <t xml:space="preserve">5194 Věcné dary - orj. 207 </t>
    </r>
    <r>
      <rPr>
        <b/>
        <sz val="10"/>
        <rFont val="Arial CE"/>
        <family val="0"/>
      </rPr>
      <t>SF (236 0100)</t>
    </r>
  </si>
  <si>
    <t>5195 Odvody dle zákona o zaměstnanosti (povinnost zaměst.ZTP)</t>
  </si>
  <si>
    <t>5229 Členský příspěvek do Svazu měst a obcí-orj.207</t>
  </si>
  <si>
    <t>5361 Nákup kolků - orj. 207</t>
  </si>
  <si>
    <t>5362 Platby daní a poplatků - orj. 207</t>
  </si>
  <si>
    <t>5363 Úhrada sankcí jiným rozpočtům - orj. 207</t>
  </si>
  <si>
    <r>
      <t>5424 Dočasná pracovní neschopnost (14 dní)-</t>
    </r>
    <r>
      <rPr>
        <b/>
        <sz val="10"/>
        <rFont val="Arial CE"/>
        <family val="2"/>
      </rPr>
      <t>Soc.fond</t>
    </r>
    <r>
      <rPr>
        <sz val="10"/>
        <rFont val="Arial CE"/>
        <family val="2"/>
      </rPr>
      <t xml:space="preserve"> BEZ ORJ.</t>
    </r>
  </si>
  <si>
    <t>5424 Dočasná pracovní neschopnost (14 dní) - orj. 207</t>
  </si>
  <si>
    <t>5499 Ostatní neinvestiční transfery obyvatelstva-Soc.fond orj. 0207</t>
  </si>
  <si>
    <t>5660 Neinvest.půjčené prostředky obyvatelstvu-Soc.fond orj. 0207</t>
  </si>
  <si>
    <t>5901 Rezerva výdajů - Sociální fond - orj. 207</t>
  </si>
  <si>
    <r>
      <t xml:space="preserve">5901 Rezerva Standardizace OSPOD  </t>
    </r>
    <r>
      <rPr>
        <b/>
        <sz val="10"/>
        <rFont val="Arial CE"/>
        <family val="2"/>
      </rPr>
      <t>or. 0360</t>
    </r>
  </si>
  <si>
    <r>
      <t xml:space="preserve">5901 Rezerva OSPOD </t>
    </r>
    <r>
      <rPr>
        <b/>
        <sz val="10"/>
        <rFont val="Arial CE"/>
        <family val="2"/>
      </rPr>
      <t>ÚZ13011 orj 0207</t>
    </r>
  </si>
  <si>
    <r>
      <t xml:space="preserve">5901 Rezerva Standardi.OSPOD </t>
    </r>
    <r>
      <rPr>
        <b/>
        <sz val="10"/>
        <rFont val="Arial CE"/>
        <family val="2"/>
      </rPr>
      <t>ÚZ13233 Np0331orj0360</t>
    </r>
  </si>
  <si>
    <r>
      <t xml:space="preserve">5901 Rezerva Standardizace OSPOD  </t>
    </r>
    <r>
      <rPr>
        <b/>
        <sz val="10"/>
        <rFont val="Arial CE"/>
        <family val="2"/>
      </rPr>
      <t>ÚZ13233 Np0335 or. 0360</t>
    </r>
  </si>
  <si>
    <t>6111 Digitální úřad pro nové tisíciletí-dotační projekt orj. 0224</t>
  </si>
  <si>
    <t>6111 Digitální úřad pro nové tisíciletí-dotační projekt Np 0361 orj. 0224</t>
  </si>
  <si>
    <t>6111 Digitální úřad pro nové tisíciletí-dotace ÚZ17871 Np 0361 orj. 0224</t>
  </si>
  <si>
    <t>6121 Výměna zdroje vytápění MÚ Pohořelice orj 0369-podmíněno získ.dot.</t>
  </si>
  <si>
    <t>6121 Úprava sociálek u kongres.sálu, interiér kongres.sálu orj.0570</t>
  </si>
  <si>
    <t>6121 Úprava podatelny na hlavní pokladnu orj.0571</t>
  </si>
  <si>
    <t xml:space="preserve">6121 Výměna zdroje vytápění MÚ Pohořelice Np0541 Orj 0369 </t>
  </si>
  <si>
    <t xml:space="preserve">6121 Výměna zdroje vytápění MÚ Pohořelice ÚZ15835 Np0545 Orj 0369 </t>
  </si>
  <si>
    <t xml:space="preserve">6121 Výměna zdroje vytápění MÚ Pohořelice ÚZ90877 Np0541 Orj 0369 </t>
  </si>
  <si>
    <t>6122 Radar na měření rycholosti na ul. Vídeňská orj.0207</t>
  </si>
  <si>
    <t>6125 Multifunkční zařízení orj. 0207</t>
  </si>
  <si>
    <t>6125 Digitální úřad pro nové tisíciletí-dotační projekt Np 0361 orj. 0224</t>
  </si>
  <si>
    <t>6125 Digitální úřad pro nové tisíciletí-dotace ÚZ17871 Np 0361 orj. 0224</t>
  </si>
  <si>
    <t>6310 Obecné příjmy z finančních operací</t>
  </si>
  <si>
    <t>6310 Obecné příjmy a výdaje z fin. operací</t>
  </si>
  <si>
    <t>2141 Příjmy z úroků ze ZBÚ bez orj.</t>
  </si>
  <si>
    <t>5142 Realizované kurzové ztráty</t>
  </si>
  <si>
    <r>
      <t xml:space="preserve">2141 Příjmy z úroků z </t>
    </r>
    <r>
      <rPr>
        <b/>
        <sz val="10"/>
        <rFont val="Arial CE"/>
        <family val="0"/>
      </rPr>
      <t>FRB</t>
    </r>
    <r>
      <rPr>
        <sz val="10"/>
        <rFont val="Arial CE"/>
        <family val="2"/>
      </rPr>
      <t xml:space="preserve"> (Fond rozvoje bydlení-půjčky občanům) bez</t>
    </r>
  </si>
  <si>
    <t>5147 Úrokové swapy (úrokové zajištění)</t>
  </si>
  <si>
    <r>
      <t xml:space="preserve">2141 Příjmy z úroků z </t>
    </r>
    <r>
      <rPr>
        <b/>
        <sz val="10"/>
        <rFont val="Arial CE"/>
        <family val="0"/>
      </rPr>
      <t>FRM</t>
    </r>
    <r>
      <rPr>
        <sz val="10"/>
        <rFont val="Arial CE"/>
        <family val="2"/>
      </rPr>
      <t xml:space="preserve"> (privatizace bytů-Fond rozvoje města) bez</t>
    </r>
  </si>
  <si>
    <t>5163 Služby peněž.ústavů - poplatky za vedení účtu ZBÚ 231xxxx</t>
  </si>
  <si>
    <t>2142 Dividendy-akcie u ČS, a.s. bezu orj.</t>
  </si>
  <si>
    <r>
      <t xml:space="preserve">5163 Služby peněž.ústavů - poplatky za vedení účtu </t>
    </r>
    <r>
      <rPr>
        <b/>
        <sz val="10"/>
        <rFont val="Arial CE"/>
        <family val="0"/>
      </rPr>
      <t>FRB</t>
    </r>
    <r>
      <rPr>
        <sz val="10"/>
        <rFont val="Arial CE"/>
        <family val="2"/>
      </rPr>
      <t xml:space="preserve"> 236 0120</t>
    </r>
  </si>
  <si>
    <t>2143 Kurzové rozdíly v příjmech  bez orj.</t>
  </si>
  <si>
    <r>
      <t xml:space="preserve">5163 Služby peněž.ústavů - poplatky za vedení účtu </t>
    </r>
    <r>
      <rPr>
        <b/>
        <sz val="10"/>
        <rFont val="Arial CE"/>
        <family val="0"/>
      </rPr>
      <t xml:space="preserve">FRM </t>
    </r>
    <r>
      <rPr>
        <sz val="11"/>
        <color theme="1"/>
        <rFont val="Calibri"/>
        <family val="2"/>
      </rPr>
      <t>236 0141</t>
    </r>
  </si>
  <si>
    <t>2324 Úročení zůstatku u ČNB   bez orj.</t>
  </si>
  <si>
    <t>6320 Pojištění budov města, odpovědnosti, ZŠ a MŠ, ZM</t>
  </si>
  <si>
    <t>5163 Pojištění</t>
  </si>
  <si>
    <t>6330 Převody mezi účty města</t>
  </si>
  <si>
    <t>5342 Převody mezi účty města- SF ČS, KB</t>
  </si>
  <si>
    <t>5345 Převody mezi účty města-ČS, KB</t>
  </si>
  <si>
    <t>4134 Převody mezi účty města-ČS a KB (231)</t>
  </si>
  <si>
    <r>
      <t>4134 Převody mezi účty města-ČS a KB (</t>
    </r>
    <r>
      <rPr>
        <b/>
        <sz val="11"/>
        <rFont val="Arial CE"/>
        <family val="0"/>
      </rPr>
      <t>SF</t>
    </r>
    <r>
      <rPr>
        <sz val="11"/>
        <color theme="1"/>
        <rFont val="Calibri"/>
        <family val="2"/>
      </rPr>
      <t xml:space="preserve"> účet 236 0100)</t>
    </r>
  </si>
  <si>
    <t>6399 Ost.fin.operace - Daň z příjmů práv.osob (město)</t>
  </si>
  <si>
    <r>
      <t>4134 Převody mezi účty města-ČS a KB (FRM</t>
    </r>
    <r>
      <rPr>
        <sz val="11"/>
        <color theme="1"/>
        <rFont val="Calibri"/>
        <family val="2"/>
      </rPr>
      <t xml:space="preserve"> účet 236 0141)</t>
    </r>
  </si>
  <si>
    <r>
      <t>5362 Daň</t>
    </r>
    <r>
      <rPr>
        <sz val="11"/>
        <color theme="1"/>
        <rFont val="Calibri"/>
        <family val="2"/>
      </rPr>
      <t xml:space="preserve"> z příjmů práv.osob (město) bez orj.</t>
    </r>
  </si>
  <si>
    <t>5362 Daň silniční-plošina od opsky orj 0233</t>
  </si>
  <si>
    <t>5362 DPH-odvody a odpočet DPH na vstupu - orj. 300</t>
  </si>
  <si>
    <t>6402 Fin.vypořádání minulých let - vratky</t>
  </si>
  <si>
    <r>
      <t>5366 Vratka-volby do obecních zastupitelstev (</t>
    </r>
    <r>
      <rPr>
        <b/>
        <sz val="10"/>
        <rFont val="Arial CE"/>
        <family val="0"/>
      </rPr>
      <t>ÚZ 98187</t>
    </r>
    <r>
      <rPr>
        <sz val="10"/>
        <rFont val="Arial CE"/>
        <family val="2"/>
      </rPr>
      <t>)</t>
    </r>
  </si>
  <si>
    <r>
      <t>5366 Vratka-volby do Evropského parlamentu (</t>
    </r>
    <r>
      <rPr>
        <b/>
        <sz val="10"/>
        <rFont val="Arial CE"/>
        <family val="0"/>
      </rPr>
      <t>ÚZ 98348</t>
    </r>
    <r>
      <rPr>
        <sz val="10"/>
        <rFont val="Arial CE"/>
        <family val="2"/>
      </rPr>
      <t>)</t>
    </r>
  </si>
  <si>
    <t>5367 Vyúčtování dotace na žáky-školní jídelna Židlochovice orj.0010</t>
  </si>
  <si>
    <t>6409 Ostatní činnosti jinde nazařazené</t>
  </si>
  <si>
    <t>6409 Ostatní činnosti</t>
  </si>
  <si>
    <t>5141 Úroky z úvěru na real.rozvoj.záměrů města-ČS, a.s.</t>
  </si>
  <si>
    <r>
      <t>5141 Úroky z úvěru na předfinanc.dotovaných akcí-16,6 mil.-</t>
    </r>
    <r>
      <rPr>
        <b/>
        <sz val="10"/>
        <rFont val="Arial CE"/>
        <family val="0"/>
      </rPr>
      <t>orj. 004</t>
    </r>
  </si>
  <si>
    <r>
      <t>5141 Úroky z úvěru na předfinanc.dotovaných akcí-20,0 mil.-</t>
    </r>
    <r>
      <rPr>
        <b/>
        <sz val="10"/>
        <rFont val="Arial CE"/>
        <family val="0"/>
      </rPr>
      <t>orj. 005</t>
    </r>
  </si>
  <si>
    <t>5909 Ost. neinvestiční výdaje jinde nezařazené</t>
  </si>
  <si>
    <t>6901 Rezervy výdajů</t>
  </si>
  <si>
    <t>- RM-proj.dokum.,krizové a mimoř.situace,dotace subj.aj.</t>
  </si>
  <si>
    <t>- na odstranění havárií způsobené na živ.prostředí cizími subjekty 720</t>
  </si>
  <si>
    <t>- na nařízené demolice staveb v havarij.stavu cizích subjektů 721</t>
  </si>
  <si>
    <t>2329 Invest.dotace-rozšíření kapacity MŠ - orj.305</t>
  </si>
  <si>
    <t>2329 Invest.a neinv.dot.-biocentra,měst.park,terminál IDS(revolving)-orj.515</t>
  </si>
  <si>
    <t>2329 Invest.a neinv.dot.-sokolovna,rad.sál,sport.hala,MŠ,digiúřad,ÚSES 0722</t>
  </si>
  <si>
    <t>2329 Invest.dotace-od CTP Invest-na úpravu výjezdu z prům.zóny0723</t>
  </si>
  <si>
    <t>- propadlé jistiny z výběrových řízení orj. 0999</t>
  </si>
  <si>
    <t>- ostatní (příspěvky na rozvoj města), propadlá kauce</t>
  </si>
  <si>
    <t>- úhrada výdajů města souvisej. s odstraněním škod na život.prostř. 0720</t>
  </si>
  <si>
    <t>- úhrada výdajů města souvisej. s demolicí staveb cizích subjektů orj. 0721</t>
  </si>
  <si>
    <t>Příjmy celkem</t>
  </si>
  <si>
    <t>Výdaje celkem</t>
  </si>
  <si>
    <t xml:space="preserve">        - základní běžný účet (ZBÚ)</t>
  </si>
  <si>
    <t>Financování</t>
  </si>
  <si>
    <t xml:space="preserve">        - sociální fond (SF)</t>
  </si>
  <si>
    <t>8115 Stav účtů k 31.12.2014-poč.zůst. k 1.1.2015</t>
  </si>
  <si>
    <t xml:space="preserve">        - Fond rozvoje bydlení (FRB)</t>
  </si>
  <si>
    <r>
      <t xml:space="preserve">        - Fond rozvoje města </t>
    </r>
    <r>
      <rPr>
        <b/>
        <sz val="10"/>
        <rFont val="Arial CE"/>
        <family val="0"/>
      </rPr>
      <t>(FRM)</t>
    </r>
  </si>
  <si>
    <t xml:space="preserve">celkem </t>
  </si>
  <si>
    <r>
      <t xml:space="preserve">        - Fond rozvoje města (</t>
    </r>
    <r>
      <rPr>
        <b/>
        <sz val="10"/>
        <rFont val="Arial CE"/>
        <family val="0"/>
      </rPr>
      <t>FRM</t>
    </r>
    <r>
      <rPr>
        <sz val="10"/>
        <rFont val="Arial CE"/>
        <family val="2"/>
      </rPr>
      <t>)</t>
    </r>
  </si>
  <si>
    <t xml:space="preserve">        - úvěr ČS, a.s. 30,0 mil.-realiz.rozvoj.záměrů města v r.2007-9</t>
  </si>
  <si>
    <t>8123 Dlouhodobé přijaté půjčené prostředky</t>
  </si>
  <si>
    <t xml:space="preserve">        - úvěr KB, a.s. 21,0 mil.- Infrastruktura pro vzdělávání na ZŠ</t>
  </si>
  <si>
    <t>Municipální úvěr od KB na předfinancování dotovaných akcí-16,6 mil. Orj.004</t>
  </si>
  <si>
    <t xml:space="preserve">        - úvěr ČS, a.s. 5,07 mil.- zbytek areálu VÚVZ, s.r.o. </t>
  </si>
  <si>
    <t>Úvěr od KB na předfinancování dotovaných akcí-20,0 mil. Orj.005</t>
  </si>
  <si>
    <t xml:space="preserve">        - úvěr KB, a.s. 41,8 mil.- reko a výst.vodohosp.infrastr.-ISPA</t>
  </si>
  <si>
    <t xml:space="preserve">        - úvěr KB, a.s. 16,6 mil.- Předfinanc.dotovaných akcí (revolving)</t>
  </si>
  <si>
    <t>8124 Uhrazené splátky dlouh.přij.půjčených prostředků</t>
  </si>
  <si>
    <t xml:space="preserve">        - úvěr KB, a.s. 20,0 mil.- Předfinanc.dotovaných akcí (revolving)</t>
  </si>
  <si>
    <t xml:space="preserve">        - splátka jistiny z úvěru ČS, a.s.-zbytek areálu VÚVZ, s.r.o.</t>
  </si>
  <si>
    <t xml:space="preserve">        - splátka jistiny z úvěru ČS, a.s.-realizace rozvoj.záměrů města</t>
  </si>
  <si>
    <t xml:space="preserve">        - splátka jistiny z úvěru KB, a.s.-projekt reko vod.infrastr.-ISPA</t>
  </si>
  <si>
    <t xml:space="preserve">        - splátka jistiny z úvěru KB, a.s.-Infrastruktura na ZŠ Pohořelice</t>
  </si>
  <si>
    <t xml:space="preserve">        - splátka jistiny úvěru KB-16,6 mil. Orj. 004</t>
  </si>
  <si>
    <t xml:space="preserve">        - splátka jistiny úvěru KB-20,0 mil.  Orj. 005</t>
  </si>
  <si>
    <t>Rekapitulace (Příjmy + Financování = Výdaje)</t>
  </si>
  <si>
    <t>schválený</t>
  </si>
  <si>
    <t>upravený</t>
  </si>
  <si>
    <t>Opravné položky k pěněžním operacím</t>
  </si>
  <si>
    <t>8901 Operace příj.a výd.(+/-)-kauce byty,pokuty dopravy</t>
  </si>
  <si>
    <t>Financování celkem</t>
  </si>
  <si>
    <t>Rozdíl celkem</t>
  </si>
  <si>
    <t>-</t>
  </si>
  <si>
    <t>Dne: 9.12.2015, vyhotovil: Jitka Dočekalová, Bc. Miroslav Novák, DiS., Jana Panochová</t>
  </si>
  <si>
    <t>k 31.12.2015</t>
  </si>
  <si>
    <t>Zůstatky stavu účtů k 31.12.2015</t>
  </si>
  <si>
    <t>Zůstatky stavu úvěrů k 31.12.2015</t>
  </si>
  <si>
    <t xml:space="preserve">       - ÚZ 13013 - Příspěvek od Úřadu Práce na VPP Np1041</t>
  </si>
  <si>
    <t xml:space="preserve">       - ÚZ 13013 - Příspěvek od Úřadu Práce na VPP Np1045</t>
  </si>
  <si>
    <r>
      <t>4123 Neinvest.dotace-rozšíření kapacity MŠ-</t>
    </r>
    <r>
      <rPr>
        <sz val="10"/>
        <rFont val="Arial CE"/>
        <family val="0"/>
      </rPr>
      <t>ÚZ86005 Np0385 Orj0305</t>
    </r>
  </si>
  <si>
    <t>4123 Neinv.dotace Přestupní uzel ÚZ86005 Np0385 Orj0516</t>
  </si>
  <si>
    <r>
      <t>4223 Invest.dotace-rozšíření kapacity MŠ - ÚZ</t>
    </r>
    <r>
      <rPr>
        <sz val="10"/>
        <rFont val="Arial CE"/>
        <family val="0"/>
      </rPr>
      <t>86505 Np0385Orj 0305</t>
    </r>
  </si>
  <si>
    <r>
      <t>4223 Invest.dotace-Přestupní uzel IDS - ÚZ</t>
    </r>
    <r>
      <rPr>
        <sz val="10"/>
        <rFont val="Arial CE"/>
        <family val="0"/>
      </rPr>
      <t>86505 Np0385Orj 0516</t>
    </r>
  </si>
  <si>
    <t>5169 Nákup ost.služeb Orj. 0512</t>
  </si>
  <si>
    <t>5171 Opravy a udržování komunikací Orj.0537</t>
  </si>
  <si>
    <t>6121 Vybavení interiéru zázemí IDS orj. 0577</t>
  </si>
  <si>
    <t>5169 Nákup ost. Služeb - zateplení MŠ orj. 0310</t>
  </si>
  <si>
    <t>5137 Nákup DHM do 40.000,-Kč - Máščasband orj. 801</t>
  </si>
  <si>
    <t>5139 Nákup materiálu Orj 801 - Máščasband</t>
  </si>
  <si>
    <t>5139 Nákup materiálu Orj. 0800 - Mužáci</t>
  </si>
  <si>
    <t>5041 Odměny za užití duševního vlastnictví - hudba orj. 0800 - Mužáci</t>
  </si>
  <si>
    <t>5175 Občerstvení Orj. 0800 - Mužáci</t>
  </si>
  <si>
    <r>
      <t>5011 Platy zaměstnanců (VPP)-dotace-</t>
    </r>
    <r>
      <rPr>
        <b/>
        <sz val="10"/>
        <rFont val="Arial CE"/>
        <family val="0"/>
      </rPr>
      <t>ÚZ 13013 Np1041 orj. 0213</t>
    </r>
  </si>
  <si>
    <r>
      <t>5011 Platy zaměstnanců (VPP)-dotace-</t>
    </r>
    <r>
      <rPr>
        <b/>
        <sz val="10"/>
        <rFont val="Arial CE"/>
        <family val="0"/>
      </rPr>
      <t>ÚZ 13013 Np1045 orj. 0213</t>
    </r>
  </si>
  <si>
    <r>
      <t>5031 Pov.pojistné-soc.zab. a zaměst. (VPP)-</t>
    </r>
    <r>
      <rPr>
        <b/>
        <sz val="10"/>
        <rFont val="Arial CE"/>
        <family val="0"/>
      </rPr>
      <t>ÚZ 13013 NP1041 orj. 0213</t>
    </r>
  </si>
  <si>
    <r>
      <t>5031 Pov.pojistné-soc.zab. a zaměst. (VPP)-</t>
    </r>
    <r>
      <rPr>
        <b/>
        <sz val="10"/>
        <rFont val="Arial CE"/>
        <family val="0"/>
      </rPr>
      <t>ÚZ 13013 NP1045 orj. 0213</t>
    </r>
  </si>
  <si>
    <r>
      <t>5031 Pov.pojistné-soc.zab. a zaměst. (VPP)-</t>
    </r>
    <r>
      <rPr>
        <b/>
        <sz val="10"/>
        <rFont val="Arial CE"/>
        <family val="0"/>
      </rPr>
      <t>ÚZ 13101 orj. 0213</t>
    </r>
  </si>
  <si>
    <r>
      <t>5032 Povinné pojistné - veř.zdrav.poj.-(VPP)-</t>
    </r>
    <r>
      <rPr>
        <b/>
        <sz val="10"/>
        <rFont val="Arial CE"/>
        <family val="0"/>
      </rPr>
      <t>ÚZ 13013 Np1045 orj.213</t>
    </r>
  </si>
  <si>
    <r>
      <t>5032 Povinné pojistné - veř.zdrav.poj.-(VPP)-</t>
    </r>
    <r>
      <rPr>
        <b/>
        <sz val="10"/>
        <rFont val="Arial CE"/>
        <family val="0"/>
      </rPr>
      <t>ÚZ 13013 Np1041 orj.213</t>
    </r>
  </si>
  <si>
    <t>5169 Park.plochy v býv.kasárnách-nezpůsobilé,orj.506</t>
  </si>
  <si>
    <t>5169 Větrolam v areálu TJ Sokol-nezpůsobilé - orj.507</t>
  </si>
  <si>
    <r>
      <t xml:space="preserve">6121 Založení biocenter dle KPÚ - </t>
    </r>
    <r>
      <rPr>
        <b/>
        <sz val="10"/>
        <rFont val="Arial CE"/>
        <family val="0"/>
      </rPr>
      <t>orj.515</t>
    </r>
  </si>
  <si>
    <t>5169 Revitalizace stromů na hřbitově-nezpůsobilé - orj.514</t>
  </si>
  <si>
    <r>
      <t>5139 Nákup materiálu -</t>
    </r>
    <r>
      <rPr>
        <b/>
        <sz val="10"/>
        <rFont val="Arial CE"/>
        <family val="0"/>
      </rPr>
      <t xml:space="preserve"> orj. 0360 - Standardizace OSPOD</t>
    </r>
  </si>
  <si>
    <t>5156 PHM- OSPOD - ÚZ13011 Orj. 0207</t>
  </si>
  <si>
    <t>5163 Pojištění vozidel a majetku-OSPOD - ÚZ13011 - orj. 207</t>
  </si>
  <si>
    <t>5166 Konzultač.služby-Dig.úřad-nové tisíc.ÚZ17003 NP0365 orj.0224</t>
  </si>
  <si>
    <t>5169 Nákup ost.služeb Dig. úřad - orj. 224</t>
  </si>
  <si>
    <t>5171 Opravy a udržování OSPOD - ÚZ13011 - orj. 207</t>
  </si>
  <si>
    <t>5178 OSPOD - ÚZ13011 Orj. 0207</t>
  </si>
  <si>
    <t>5362 Platby daní a poplatků - OSPOD - ÚZ 13011orj. 207</t>
  </si>
  <si>
    <t>5192 Poskytnuté náhrady - (sociální pohřeb) orj. 0212</t>
  </si>
  <si>
    <t>6111 Programové vybavení - Orj 0207</t>
  </si>
  <si>
    <t>Rozpočet upravený - RO č. 18 - schváleno ZM dne 16.12.2015</t>
  </si>
  <si>
    <t>Rozpočet upravený - RO č. 19 - schváleno RM dne 21.12.2015</t>
  </si>
  <si>
    <t>Rozpočet upravený - RO č. 20 - provedeno správcem rozpočtu 22.12.2015</t>
  </si>
  <si>
    <r>
      <t xml:space="preserve">6121 Zateplení budovy kina, kotel Np 0541 orj. 366 - dotační projekt </t>
    </r>
    <r>
      <rPr>
        <b/>
        <sz val="11"/>
        <rFont val="Arial CE"/>
        <family val="0"/>
      </rPr>
      <t>FRM</t>
    </r>
  </si>
  <si>
    <r>
      <t xml:space="preserve">6121 Zateplení budovy kina, kotel ÚZ15835 Np0545 orj. 366 - </t>
    </r>
    <r>
      <rPr>
        <b/>
        <sz val="11"/>
        <rFont val="Arial CE"/>
        <family val="0"/>
      </rPr>
      <t>FRM</t>
    </r>
  </si>
  <si>
    <r>
      <t xml:space="preserve">6121 Zateplení budovy kina, kotel ÚZ90877 Np0541 orj. 366 - </t>
    </r>
    <r>
      <rPr>
        <b/>
        <sz val="11"/>
        <rFont val="Arial CE"/>
        <family val="0"/>
      </rPr>
      <t>FRM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</si>
</sst>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u val="single"/>
      <sz val="14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1"/>
      <name val="Arial CE"/>
      <family val="0"/>
    </font>
    <font>
      <sz val="10"/>
      <color indexed="9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 CE"/>
      <family val="2"/>
    </font>
    <font>
      <b/>
      <sz val="8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48" applyFont="1" applyFill="1" applyBorder="1" applyAlignment="1" applyProtection="1">
      <alignment horizontal="center"/>
      <protection locked="0"/>
    </xf>
    <xf numFmtId="0" fontId="4" fillId="0" borderId="11" xfId="48" applyFont="1" applyFill="1" applyBorder="1" applyAlignment="1" applyProtection="1">
      <alignment horizontal="center" vertical="center"/>
      <protection locked="0"/>
    </xf>
    <xf numFmtId="0" fontId="4" fillId="0" borderId="10" xfId="48" applyFont="1" applyFill="1" applyBorder="1" applyAlignment="1" applyProtection="1">
      <alignment horizontal="center" vertical="center"/>
      <protection locked="0"/>
    </xf>
    <xf numFmtId="0" fontId="4" fillId="0" borderId="12" xfId="48" applyFont="1" applyFill="1" applyBorder="1" applyAlignment="1" applyProtection="1">
      <alignment horizontal="center"/>
      <protection locked="0"/>
    </xf>
    <xf numFmtId="3" fontId="4" fillId="0" borderId="13" xfId="48" applyNumberFormat="1" applyFont="1" applyFill="1" applyBorder="1" applyAlignment="1" applyProtection="1">
      <alignment horizontal="center"/>
      <protection locked="0"/>
    </xf>
    <xf numFmtId="3" fontId="4" fillId="0" borderId="14" xfId="48" applyNumberFormat="1" applyFont="1" applyFill="1" applyBorder="1" applyAlignment="1" applyProtection="1">
      <alignment horizontal="center"/>
      <protection locked="0"/>
    </xf>
    <xf numFmtId="3" fontId="4" fillId="0" borderId="15" xfId="48" applyNumberFormat="1" applyFont="1" applyFill="1" applyBorder="1" applyAlignment="1" applyProtection="1">
      <alignment horizontal="center"/>
      <protection locked="0"/>
    </xf>
    <xf numFmtId="3" fontId="4" fillId="0" borderId="16" xfId="48" applyNumberFormat="1" applyFont="1" applyFill="1" applyBorder="1" applyAlignment="1" applyProtection="1">
      <alignment horizontal="center"/>
      <protection locked="0"/>
    </xf>
    <xf numFmtId="0" fontId="4" fillId="0" borderId="17" xfId="48" applyFont="1" applyFill="1" applyBorder="1" applyAlignment="1" applyProtection="1">
      <alignment horizontal="center" vertical="center"/>
      <protection locked="0"/>
    </xf>
    <xf numFmtId="0" fontId="4" fillId="0" borderId="18" xfId="48" applyFont="1" applyFill="1" applyBorder="1" applyAlignment="1" applyProtection="1">
      <alignment horizontal="center" vertical="center"/>
      <protection locked="0"/>
    </xf>
    <xf numFmtId="3" fontId="4" fillId="0" borderId="19" xfId="48" applyNumberFormat="1" applyFont="1" applyFill="1" applyBorder="1" applyAlignment="1" applyProtection="1">
      <alignment horizontal="center" vertical="center"/>
      <protection locked="0"/>
    </xf>
    <xf numFmtId="3" fontId="4" fillId="0" borderId="20" xfId="48" applyNumberFormat="1" applyFont="1" applyFill="1" applyBorder="1" applyAlignment="1" applyProtection="1">
      <alignment horizontal="center" vertical="center"/>
      <protection locked="0"/>
    </xf>
    <xf numFmtId="0" fontId="2" fillId="0" borderId="21" xfId="48" applyFont="1" applyFill="1" applyBorder="1" applyProtection="1">
      <alignment/>
      <protection locked="0"/>
    </xf>
    <xf numFmtId="3" fontId="2" fillId="0" borderId="22" xfId="48" applyNumberFormat="1" applyFont="1" applyFill="1" applyBorder="1" applyAlignment="1" applyProtection="1">
      <alignment horizontal="right"/>
      <protection locked="0"/>
    </xf>
    <xf numFmtId="4" fontId="2" fillId="0" borderId="22" xfId="48" applyNumberFormat="1" applyFont="1" applyFill="1" applyBorder="1" applyAlignment="1" applyProtection="1">
      <alignment horizontal="right"/>
      <protection locked="0"/>
    </xf>
    <xf numFmtId="4" fontId="2" fillId="0" borderId="22" xfId="48" applyNumberFormat="1" applyFont="1" applyFill="1" applyBorder="1" applyAlignment="1" applyProtection="1">
      <alignment horizontal="right"/>
      <protection locked="0"/>
    </xf>
    <xf numFmtId="3" fontId="2" fillId="0" borderId="23" xfId="48" applyNumberFormat="1" applyFont="1" applyFill="1" applyBorder="1" applyAlignment="1" applyProtection="1">
      <alignment horizontal="center"/>
      <protection locked="0"/>
    </xf>
    <xf numFmtId="49" fontId="4" fillId="0" borderId="24" xfId="48" applyNumberFormat="1" applyFont="1" applyFill="1" applyBorder="1" applyAlignment="1" applyProtection="1">
      <alignment horizontal="left"/>
      <protection locked="0"/>
    </xf>
    <xf numFmtId="3" fontId="4" fillId="0" borderId="25" xfId="48" applyNumberFormat="1" applyFont="1" applyFill="1" applyBorder="1" applyAlignment="1" applyProtection="1">
      <alignment horizontal="right"/>
      <protection locked="0"/>
    </xf>
    <xf numFmtId="164" fontId="2" fillId="0" borderId="25" xfId="48" applyNumberFormat="1" applyFont="1" applyFill="1" applyBorder="1" applyAlignment="1" applyProtection="1">
      <alignment horizontal="right"/>
      <protection locked="0"/>
    </xf>
    <xf numFmtId="0" fontId="2" fillId="0" borderId="26" xfId="48" applyFont="1" applyFill="1" applyBorder="1" applyProtection="1">
      <alignment/>
      <protection locked="0"/>
    </xf>
    <xf numFmtId="3" fontId="2" fillId="0" borderId="27" xfId="48" applyNumberFormat="1" applyFont="1" applyFill="1" applyBorder="1" applyAlignment="1" applyProtection="1">
      <alignment horizontal="right"/>
      <protection locked="0"/>
    </xf>
    <xf numFmtId="4" fontId="2" fillId="0" borderId="27" xfId="48" applyNumberFormat="1" applyFont="1" applyFill="1" applyBorder="1" applyAlignment="1" applyProtection="1">
      <alignment horizontal="right"/>
      <protection locked="0"/>
    </xf>
    <xf numFmtId="4" fontId="2" fillId="0" borderId="27" xfId="48" applyNumberFormat="1" applyFont="1" applyFill="1" applyBorder="1" applyAlignment="1" applyProtection="1">
      <alignment horizontal="right"/>
      <protection locked="0"/>
    </xf>
    <xf numFmtId="3" fontId="2" fillId="0" borderId="28" xfId="48" applyNumberFormat="1" applyFont="1" applyFill="1" applyBorder="1" applyAlignment="1" applyProtection="1">
      <alignment horizontal="center"/>
      <protection locked="0"/>
    </xf>
    <xf numFmtId="0" fontId="5" fillId="0" borderId="12" xfId="48" applyNumberFormat="1" applyFont="1" applyFill="1" applyBorder="1" applyAlignment="1" applyProtection="1">
      <alignment vertical="center" wrapText="1"/>
      <protection locked="0"/>
    </xf>
    <xf numFmtId="0" fontId="5" fillId="0" borderId="0" xfId="48" applyNumberFormat="1" applyFont="1" applyFill="1" applyBorder="1" applyAlignment="1" applyProtection="1">
      <alignment vertical="center" wrapText="1"/>
      <protection locked="0"/>
    </xf>
    <xf numFmtId="164" fontId="5" fillId="0" borderId="0" xfId="48" applyNumberFormat="1" applyFont="1" applyFill="1" applyBorder="1" applyAlignment="1" applyProtection="1">
      <alignment vertical="center" wrapText="1"/>
      <protection locked="0"/>
    </xf>
    <xf numFmtId="164" fontId="2" fillId="0" borderId="0" xfId="48" applyNumberFormat="1" applyFont="1" applyFill="1" applyBorder="1" applyAlignment="1" applyProtection="1">
      <alignment vertical="center" wrapText="1"/>
      <protection locked="0"/>
    </xf>
    <xf numFmtId="3" fontId="2" fillId="0" borderId="27" xfId="48" applyNumberFormat="1" applyFont="1" applyFill="1" applyBorder="1" applyAlignment="1" applyProtection="1">
      <alignment horizontal="right"/>
      <protection locked="0"/>
    </xf>
    <xf numFmtId="0" fontId="0" fillId="0" borderId="26" xfId="48" applyFont="1" applyFill="1" applyBorder="1" applyProtection="1">
      <alignment/>
      <protection locked="0"/>
    </xf>
    <xf numFmtId="0" fontId="2" fillId="0" borderId="12" xfId="48" applyFont="1" applyFill="1" applyBorder="1" applyAlignment="1" applyProtection="1">
      <alignment horizontal="left"/>
      <protection locked="0"/>
    </xf>
    <xf numFmtId="4" fontId="2" fillId="0" borderId="0" xfId="48" applyNumberFormat="1" applyFont="1" applyFill="1" applyBorder="1" applyAlignment="1" applyProtection="1">
      <alignment horizontal="right"/>
      <protection locked="0"/>
    </xf>
    <xf numFmtId="0" fontId="2" fillId="0" borderId="12" xfId="48" applyFont="1" applyFill="1" applyBorder="1" applyAlignment="1" applyProtection="1">
      <alignment horizontal="right"/>
      <protection locked="0"/>
    </xf>
    <xf numFmtId="0" fontId="2" fillId="0" borderId="12" xfId="48" applyFont="1" applyFill="1" applyBorder="1" applyProtection="1">
      <alignment/>
      <protection locked="0"/>
    </xf>
    <xf numFmtId="0" fontId="2" fillId="7" borderId="26" xfId="48" applyFont="1" applyFill="1" applyBorder="1" applyProtection="1">
      <alignment/>
      <protection locked="0"/>
    </xf>
    <xf numFmtId="3" fontId="2" fillId="7" borderId="27" xfId="48" applyNumberFormat="1" applyFont="1" applyFill="1" applyBorder="1" applyAlignment="1" applyProtection="1">
      <alignment horizontal="right"/>
      <protection locked="0"/>
    </xf>
    <xf numFmtId="4" fontId="2" fillId="7" borderId="27" xfId="48" applyNumberFormat="1" applyFont="1" applyFill="1" applyBorder="1" applyAlignment="1" applyProtection="1">
      <alignment horizontal="right"/>
      <protection locked="0"/>
    </xf>
    <xf numFmtId="4" fontId="2" fillId="7" borderId="27" xfId="48" applyNumberFormat="1" applyFont="1" applyFill="1" applyBorder="1" applyAlignment="1" applyProtection="1">
      <alignment horizontal="right"/>
      <protection locked="0"/>
    </xf>
    <xf numFmtId="4" fontId="2" fillId="0" borderId="12" xfId="48" applyNumberFormat="1" applyFont="1" applyFill="1" applyBorder="1" applyProtection="1">
      <alignment/>
      <protection locked="0"/>
    </xf>
    <xf numFmtId="164" fontId="2" fillId="0" borderId="0" xfId="48" applyNumberFormat="1" applyFont="1" applyFill="1" applyBorder="1" applyAlignment="1" applyProtection="1">
      <alignment horizontal="right"/>
      <protection locked="0"/>
    </xf>
    <xf numFmtId="165" fontId="2" fillId="0" borderId="0" xfId="48" applyNumberFormat="1" applyFont="1" applyFill="1" applyBorder="1" applyAlignment="1" applyProtection="1">
      <alignment horizontal="right"/>
      <protection locked="0"/>
    </xf>
    <xf numFmtId="164" fontId="2" fillId="0" borderId="0" xfId="48" applyNumberFormat="1" applyFont="1" applyFill="1" applyBorder="1" applyAlignment="1" applyProtection="1">
      <alignment horizontal="right"/>
      <protection locked="0"/>
    </xf>
    <xf numFmtId="3" fontId="2" fillId="0" borderId="12" xfId="48" applyNumberFormat="1" applyFont="1" applyFill="1" applyBorder="1" applyProtection="1">
      <alignment/>
      <protection locked="0"/>
    </xf>
    <xf numFmtId="0" fontId="0" fillId="0" borderId="26" xfId="47" applyFont="1" applyFill="1" applyBorder="1" applyProtection="1">
      <alignment/>
      <protection locked="0"/>
    </xf>
    <xf numFmtId="0" fontId="2" fillId="0" borderId="26" xfId="47" applyFont="1" applyFill="1" applyBorder="1" applyProtection="1">
      <alignment/>
      <protection locked="0"/>
    </xf>
    <xf numFmtId="3" fontId="6" fillId="0" borderId="27" xfId="48" applyNumberFormat="1" applyFont="1" applyFill="1" applyBorder="1" applyAlignment="1" applyProtection="1">
      <alignment horizontal="right"/>
      <protection locked="0"/>
    </xf>
    <xf numFmtId="4" fontId="2" fillId="0" borderId="12" xfId="47" applyNumberFormat="1" applyFont="1" applyFill="1" applyBorder="1" applyAlignment="1" applyProtection="1">
      <alignment horizontal="right"/>
      <protection locked="0"/>
    </xf>
    <xf numFmtId="0" fontId="2" fillId="0" borderId="12" xfId="47" applyFont="1" applyFill="1" applyBorder="1" applyProtection="1">
      <alignment/>
      <protection locked="0"/>
    </xf>
    <xf numFmtId="164" fontId="2" fillId="0" borderId="0" xfId="48" applyNumberFormat="1" applyFill="1" applyBorder="1" applyProtection="1">
      <alignment/>
      <protection locked="0"/>
    </xf>
    <xf numFmtId="165" fontId="2" fillId="0" borderId="0" xfId="48" applyNumberFormat="1" applyFill="1" applyBorder="1" applyProtection="1">
      <alignment/>
      <protection locked="0"/>
    </xf>
    <xf numFmtId="4" fontId="2" fillId="0" borderId="0" xfId="47" applyNumberFormat="1" applyFont="1" applyFill="1" applyBorder="1" applyProtection="1">
      <alignment/>
      <protection locked="0"/>
    </xf>
    <xf numFmtId="3" fontId="2" fillId="0" borderId="12" xfId="47" applyNumberFormat="1" applyFont="1" applyFill="1" applyBorder="1" applyProtection="1">
      <alignment/>
      <protection locked="0"/>
    </xf>
    <xf numFmtId="4" fontId="2" fillId="0" borderId="27" xfId="47" applyNumberFormat="1" applyFont="1" applyFill="1" applyBorder="1" applyAlignment="1" applyProtection="1">
      <alignment horizontal="right"/>
      <protection locked="0"/>
    </xf>
    <xf numFmtId="4" fontId="2" fillId="0" borderId="12" xfId="47" applyNumberFormat="1" applyFont="1" applyFill="1" applyBorder="1" applyProtection="1">
      <alignment/>
      <protection locked="0"/>
    </xf>
    <xf numFmtId="4" fontId="2" fillId="0" borderId="0" xfId="48" applyNumberFormat="1" applyFill="1" applyBorder="1" applyProtection="1">
      <alignment/>
      <protection locked="0"/>
    </xf>
    <xf numFmtId="0" fontId="2" fillId="0" borderId="12" xfId="48" applyFill="1" applyBorder="1" applyProtection="1">
      <alignment/>
      <protection locked="0"/>
    </xf>
    <xf numFmtId="3" fontId="2" fillId="0" borderId="0" xfId="48" applyNumberFormat="1" applyFill="1" applyBorder="1" applyProtection="1">
      <alignment/>
      <protection locked="0"/>
    </xf>
    <xf numFmtId="0" fontId="2" fillId="0" borderId="0" xfId="48" applyFill="1" applyBorder="1" applyProtection="1">
      <alignment/>
      <protection locked="0"/>
    </xf>
    <xf numFmtId="0" fontId="4" fillId="0" borderId="26" xfId="48" applyFont="1" applyFill="1" applyBorder="1" applyProtection="1">
      <alignment/>
      <protection locked="0"/>
    </xf>
    <xf numFmtId="3" fontId="4" fillId="0" borderId="27" xfId="48" applyNumberFormat="1" applyFont="1" applyFill="1" applyBorder="1" applyAlignment="1" applyProtection="1">
      <alignment horizontal="right"/>
      <protection locked="0"/>
    </xf>
    <xf numFmtId="4" fontId="4" fillId="0" borderId="27" xfId="48" applyNumberFormat="1" applyFont="1" applyFill="1" applyBorder="1" applyAlignment="1" applyProtection="1">
      <alignment horizontal="right"/>
      <protection locked="0"/>
    </xf>
    <xf numFmtId="4" fontId="2" fillId="0" borderId="12" xfId="48" applyNumberFormat="1" applyFill="1" applyBorder="1" applyProtection="1">
      <alignment/>
      <protection locked="0"/>
    </xf>
    <xf numFmtId="0" fontId="4" fillId="0" borderId="12" xfId="48" applyFont="1" applyFill="1" applyBorder="1" applyProtection="1">
      <alignment/>
      <protection locked="0"/>
    </xf>
    <xf numFmtId="3" fontId="4" fillId="0" borderId="0" xfId="48" applyNumberFormat="1" applyFont="1" applyFill="1" applyBorder="1" applyAlignment="1" applyProtection="1">
      <alignment horizontal="right"/>
      <protection locked="0"/>
    </xf>
    <xf numFmtId="0" fontId="2" fillId="0" borderId="0" xfId="48" applyFont="1" applyFill="1" applyBorder="1" applyProtection="1">
      <alignment/>
      <protection locked="0"/>
    </xf>
    <xf numFmtId="49" fontId="4" fillId="0" borderId="29" xfId="48" applyNumberFormat="1" applyFont="1" applyFill="1" applyBorder="1" applyAlignment="1" applyProtection="1">
      <alignment horizontal="left"/>
      <protection locked="0"/>
    </xf>
    <xf numFmtId="3" fontId="4" fillId="0" borderId="27" xfId="48" applyNumberFormat="1" applyFont="1" applyFill="1" applyBorder="1" applyProtection="1">
      <alignment/>
      <protection locked="0"/>
    </xf>
    <xf numFmtId="4" fontId="4" fillId="0" borderId="27" xfId="48" applyNumberFormat="1" applyFont="1" applyFill="1" applyBorder="1" applyProtection="1">
      <alignment/>
      <protection locked="0"/>
    </xf>
    <xf numFmtId="3" fontId="4" fillId="0" borderId="30" xfId="48" applyNumberFormat="1" applyFont="1" applyFill="1" applyBorder="1" applyProtection="1">
      <alignment/>
      <protection locked="0"/>
    </xf>
    <xf numFmtId="49" fontId="2" fillId="0" borderId="29" xfId="48" applyNumberFormat="1" applyFont="1" applyFill="1" applyBorder="1" applyAlignment="1" applyProtection="1">
      <alignment horizontal="left"/>
      <protection locked="0"/>
    </xf>
    <xf numFmtId="4" fontId="2" fillId="0" borderId="27" xfId="48" applyNumberFormat="1" applyFont="1" applyFill="1" applyBorder="1" applyProtection="1">
      <alignment/>
      <protection locked="0"/>
    </xf>
    <xf numFmtId="4" fontId="4" fillId="0" borderId="12" xfId="48" applyNumberFormat="1" applyFont="1" applyFill="1" applyBorder="1" applyProtection="1">
      <alignment/>
      <protection locked="0"/>
    </xf>
    <xf numFmtId="0" fontId="2" fillId="0" borderId="29" xfId="47" applyFont="1" applyFill="1" applyBorder="1" applyProtection="1">
      <alignment/>
      <protection locked="0"/>
    </xf>
    <xf numFmtId="4" fontId="2" fillId="0" borderId="27" xfId="47" applyNumberFormat="1" applyFont="1" applyFill="1" applyBorder="1" applyProtection="1">
      <alignment/>
      <protection locked="0"/>
    </xf>
    <xf numFmtId="49" fontId="2" fillId="0" borderId="29" xfId="48" applyNumberFormat="1" applyFont="1" applyFill="1" applyBorder="1" applyAlignment="1" applyProtection="1">
      <alignment horizontal="left"/>
      <protection locked="0"/>
    </xf>
    <xf numFmtId="3" fontId="2" fillId="0" borderId="31" xfId="48" applyNumberFormat="1" applyFont="1" applyFill="1" applyBorder="1" applyAlignment="1" applyProtection="1">
      <alignment horizontal="right"/>
      <protection locked="0"/>
    </xf>
    <xf numFmtId="4" fontId="2" fillId="0" borderId="31" xfId="48" applyNumberFormat="1" applyFont="1" applyFill="1" applyBorder="1" applyAlignment="1" applyProtection="1">
      <alignment horizontal="right"/>
      <protection locked="0"/>
    </xf>
    <xf numFmtId="49" fontId="4" fillId="0" borderId="29" xfId="47" applyNumberFormat="1" applyFont="1" applyFill="1" applyBorder="1" applyAlignment="1" applyProtection="1">
      <alignment horizontal="left"/>
      <protection locked="0"/>
    </xf>
    <xf numFmtId="3" fontId="4" fillId="0" borderId="30" xfId="48" applyNumberFormat="1" applyFont="1" applyFill="1" applyBorder="1" applyAlignment="1" applyProtection="1">
      <alignment horizontal="right"/>
      <protection locked="0"/>
    </xf>
    <xf numFmtId="3" fontId="2" fillId="0" borderId="27" xfId="47" applyNumberFormat="1" applyFont="1" applyFill="1" applyBorder="1" applyAlignment="1" applyProtection="1">
      <alignment horizontal="right"/>
      <protection locked="0"/>
    </xf>
    <xf numFmtId="4" fontId="2" fillId="0" borderId="27" xfId="47" applyNumberFormat="1" applyFont="1" applyFill="1" applyBorder="1" applyAlignment="1" applyProtection="1">
      <alignment horizontal="right"/>
      <protection locked="0"/>
    </xf>
    <xf numFmtId="49" fontId="2" fillId="0" borderId="29" xfId="47" applyNumberFormat="1" applyFont="1" applyFill="1" applyBorder="1" applyAlignment="1" applyProtection="1">
      <alignment horizontal="left"/>
      <protection locked="0"/>
    </xf>
    <xf numFmtId="3" fontId="2" fillId="0" borderId="31" xfId="47" applyNumberFormat="1" applyFont="1" applyFill="1" applyBorder="1" applyAlignment="1" applyProtection="1">
      <alignment horizontal="right"/>
      <protection locked="0"/>
    </xf>
    <xf numFmtId="4" fontId="2" fillId="0" borderId="31" xfId="47" applyNumberFormat="1" applyFont="1" applyFill="1" applyBorder="1" applyAlignment="1" applyProtection="1">
      <alignment horizontal="right"/>
      <protection locked="0"/>
    </xf>
    <xf numFmtId="3" fontId="4" fillId="0" borderId="27" xfId="48" applyNumberFormat="1" applyFont="1" applyFill="1" applyBorder="1" applyProtection="1">
      <alignment/>
      <protection locked="0"/>
    </xf>
    <xf numFmtId="0" fontId="2" fillId="0" borderId="29" xfId="48" applyFill="1" applyBorder="1" applyProtection="1">
      <alignment/>
      <protection locked="0"/>
    </xf>
    <xf numFmtId="3" fontId="2" fillId="0" borderId="31" xfId="48" applyNumberFormat="1" applyFill="1" applyBorder="1" applyProtection="1">
      <alignment/>
      <protection locked="0"/>
    </xf>
    <xf numFmtId="0" fontId="2" fillId="0" borderId="31" xfId="48" applyFill="1" applyBorder="1" applyProtection="1">
      <alignment/>
      <protection locked="0"/>
    </xf>
    <xf numFmtId="3" fontId="2" fillId="0" borderId="0" xfId="48" applyNumberFormat="1" applyFont="1" applyFill="1" applyBorder="1" applyAlignment="1" applyProtection="1">
      <alignment horizontal="right"/>
      <protection locked="0"/>
    </xf>
    <xf numFmtId="0" fontId="4" fillId="0" borderId="29" xfId="48" applyFont="1" applyFill="1" applyBorder="1" applyProtection="1">
      <alignment/>
      <protection locked="0"/>
    </xf>
    <xf numFmtId="4" fontId="4" fillId="0" borderId="27" xfId="48" applyNumberFormat="1" applyFont="1" applyFill="1" applyBorder="1" applyProtection="1">
      <alignment/>
      <protection locked="0"/>
    </xf>
    <xf numFmtId="0" fontId="2" fillId="0" borderId="29" xfId="48" applyFont="1" applyFill="1" applyBorder="1" applyProtection="1">
      <alignment/>
      <protection locked="0"/>
    </xf>
    <xf numFmtId="3" fontId="2" fillId="0" borderId="27" xfId="48" applyNumberFormat="1" applyFont="1" applyFill="1" applyBorder="1" applyProtection="1">
      <alignment/>
      <protection locked="0"/>
    </xf>
    <xf numFmtId="3" fontId="2" fillId="0" borderId="27" xfId="47" applyNumberFormat="1" applyFont="1" applyFill="1" applyBorder="1" applyProtection="1">
      <alignment/>
      <protection locked="0"/>
    </xf>
    <xf numFmtId="0" fontId="2" fillId="0" borderId="32" xfId="48" applyFont="1" applyFill="1" applyBorder="1" applyProtection="1">
      <alignment/>
      <protection locked="0"/>
    </xf>
    <xf numFmtId="3" fontId="2" fillId="0" borderId="31" xfId="48" applyNumberFormat="1" applyFont="1" applyFill="1" applyBorder="1" applyProtection="1">
      <alignment/>
      <protection locked="0"/>
    </xf>
    <xf numFmtId="4" fontId="2" fillId="0" borderId="31" xfId="48" applyNumberFormat="1" applyFont="1" applyFill="1" applyBorder="1" applyProtection="1">
      <alignment/>
      <protection locked="0"/>
    </xf>
    <xf numFmtId="3" fontId="2" fillId="0" borderId="31" xfId="47" applyNumberFormat="1" applyFont="1" applyFill="1" applyBorder="1" applyProtection="1">
      <alignment/>
      <protection locked="0"/>
    </xf>
    <xf numFmtId="4" fontId="2" fillId="0" borderId="31" xfId="47" applyNumberFormat="1" applyFont="1" applyFill="1" applyBorder="1" applyProtection="1">
      <alignment/>
      <protection locked="0"/>
    </xf>
    <xf numFmtId="0" fontId="4" fillId="0" borderId="29" xfId="47" applyFont="1" applyFill="1" applyBorder="1" applyProtection="1">
      <alignment/>
      <protection locked="0"/>
    </xf>
    <xf numFmtId="0" fontId="0" fillId="0" borderId="32" xfId="47" applyFont="1" applyFill="1" applyBorder="1" applyProtection="1">
      <alignment/>
      <protection locked="0"/>
    </xf>
    <xf numFmtId="3" fontId="2" fillId="0" borderId="33" xfId="48" applyNumberFormat="1" applyFont="1" applyFill="1" applyBorder="1" applyProtection="1">
      <alignment/>
      <protection locked="0"/>
    </xf>
    <xf numFmtId="4" fontId="2" fillId="0" borderId="33" xfId="47" applyNumberFormat="1" applyFont="1" applyFill="1" applyBorder="1" applyProtection="1">
      <alignment/>
      <protection locked="0"/>
    </xf>
    <xf numFmtId="4" fontId="2" fillId="0" borderId="33" xfId="48" applyNumberFormat="1" applyFont="1" applyFill="1" applyBorder="1" applyProtection="1">
      <alignment/>
      <protection locked="0"/>
    </xf>
    <xf numFmtId="3" fontId="4" fillId="0" borderId="27" xfId="47" applyNumberFormat="1" applyFont="1" applyFill="1" applyBorder="1" applyProtection="1">
      <alignment/>
      <protection locked="0"/>
    </xf>
    <xf numFmtId="4" fontId="4" fillId="0" borderId="27" xfId="47" applyNumberFormat="1" applyFont="1" applyFill="1" applyBorder="1" applyProtection="1">
      <alignment/>
      <protection locked="0"/>
    </xf>
    <xf numFmtId="2" fontId="4" fillId="0" borderId="27" xfId="47" applyNumberFormat="1" applyFont="1" applyFill="1" applyBorder="1" applyProtection="1">
      <alignment/>
      <protection locked="0"/>
    </xf>
    <xf numFmtId="2" fontId="2" fillId="0" borderId="27" xfId="47" applyNumberFormat="1" applyFont="1" applyFill="1" applyBorder="1" applyProtection="1">
      <alignment/>
      <protection locked="0"/>
    </xf>
    <xf numFmtId="3" fontId="0" fillId="0" borderId="27" xfId="47" applyNumberFormat="1" applyFont="1" applyFill="1" applyBorder="1" applyProtection="1">
      <alignment/>
      <protection locked="0"/>
    </xf>
    <xf numFmtId="0" fontId="4" fillId="0" borderId="12" xfId="47" applyFont="1" applyFill="1" applyBorder="1" applyProtection="1">
      <alignment/>
      <protection locked="0"/>
    </xf>
    <xf numFmtId="3" fontId="4" fillId="0" borderId="0" xfId="47" applyNumberFormat="1" applyFont="1" applyFill="1" applyBorder="1" applyProtection="1">
      <alignment/>
      <protection locked="0"/>
    </xf>
    <xf numFmtId="4" fontId="4" fillId="0" borderId="0" xfId="47" applyNumberFormat="1" applyFont="1" applyFill="1" applyBorder="1" applyProtection="1">
      <alignment/>
      <protection locked="0"/>
    </xf>
    <xf numFmtId="0" fontId="2" fillId="0" borderId="34" xfId="47" applyFont="1" applyFill="1" applyBorder="1" applyProtection="1">
      <alignment/>
      <protection locked="0"/>
    </xf>
    <xf numFmtId="3" fontId="2" fillId="0" borderId="35" xfId="47" applyNumberFormat="1" applyFont="1" applyFill="1" applyBorder="1" applyProtection="1">
      <alignment/>
      <protection locked="0"/>
    </xf>
    <xf numFmtId="4" fontId="2" fillId="0" borderId="35" xfId="47" applyNumberFormat="1" applyFont="1" applyFill="1" applyBorder="1" applyProtection="1">
      <alignment/>
      <protection locked="0"/>
    </xf>
    <xf numFmtId="2" fontId="2" fillId="0" borderId="35" xfId="47" applyNumberFormat="1" applyFont="1" applyFill="1" applyBorder="1" applyProtection="1">
      <alignment/>
      <protection locked="0"/>
    </xf>
    <xf numFmtId="3" fontId="2" fillId="0" borderId="0" xfId="47" applyNumberFormat="1" applyFont="1" applyFill="1" applyBorder="1" applyProtection="1">
      <alignment/>
      <protection locked="0"/>
    </xf>
    <xf numFmtId="4" fontId="2" fillId="0" borderId="0" xfId="47" applyNumberFormat="1" applyFont="1" applyFill="1" applyBorder="1" applyProtection="1">
      <alignment/>
      <protection locked="0"/>
    </xf>
    <xf numFmtId="0" fontId="4" fillId="0" borderId="29" xfId="48" applyFont="1" applyFill="1" applyBorder="1" applyAlignment="1" applyProtection="1">
      <alignment horizontal="left"/>
      <protection locked="0"/>
    </xf>
    <xf numFmtId="0" fontId="2" fillId="0" borderId="32" xfId="47" applyFont="1" applyFill="1" applyBorder="1" applyProtection="1">
      <alignment/>
      <protection locked="0"/>
    </xf>
    <xf numFmtId="3" fontId="2" fillId="0" borderId="33" xfId="47" applyNumberFormat="1" applyFont="1" applyFill="1" applyBorder="1" applyProtection="1">
      <alignment/>
      <protection locked="0"/>
    </xf>
    <xf numFmtId="2" fontId="2" fillId="0" borderId="33" xfId="47" applyNumberFormat="1" applyFont="1" applyFill="1" applyBorder="1" applyProtection="1">
      <alignment/>
      <protection locked="0"/>
    </xf>
    <xf numFmtId="49" fontId="4" fillId="0" borderId="26" xfId="48" applyNumberFormat="1" applyFont="1" applyFill="1" applyBorder="1" applyAlignment="1" applyProtection="1">
      <alignment horizontal="left"/>
      <protection locked="0"/>
    </xf>
    <xf numFmtId="3" fontId="4" fillId="0" borderId="27" xfId="48" applyNumberFormat="1" applyFont="1" applyFill="1" applyBorder="1" applyAlignment="1" applyProtection="1">
      <alignment horizontal="right"/>
      <protection locked="0"/>
    </xf>
    <xf numFmtId="4" fontId="4" fillId="0" borderId="27" xfId="48" applyNumberFormat="1" applyFont="1" applyFill="1" applyBorder="1" applyAlignment="1" applyProtection="1">
      <alignment horizontal="right"/>
      <protection locked="0"/>
    </xf>
    <xf numFmtId="49" fontId="0" fillId="0" borderId="29" xfId="48" applyNumberFormat="1" applyFont="1" applyFill="1" applyBorder="1" applyAlignment="1" applyProtection="1">
      <alignment horizontal="left"/>
      <protection locked="0"/>
    </xf>
    <xf numFmtId="0" fontId="2" fillId="0" borderId="26" xfId="48" applyFont="1" applyFill="1" applyBorder="1" applyProtection="1">
      <alignment/>
      <protection locked="0"/>
    </xf>
    <xf numFmtId="4" fontId="2" fillId="0" borderId="33" xfId="48" applyNumberFormat="1" applyFont="1" applyFill="1" applyBorder="1" applyAlignment="1" applyProtection="1">
      <alignment horizontal="right"/>
      <protection locked="0"/>
    </xf>
    <xf numFmtId="3" fontId="2" fillId="0" borderId="0" xfId="48" applyNumberFormat="1" applyFont="1" applyFill="1" applyBorder="1" applyProtection="1">
      <alignment/>
      <protection locked="0"/>
    </xf>
    <xf numFmtId="4" fontId="2" fillId="0" borderId="0" xfId="48" applyNumberFormat="1" applyFont="1" applyFill="1" applyBorder="1" applyProtection="1">
      <alignment/>
      <protection locked="0"/>
    </xf>
    <xf numFmtId="3" fontId="4" fillId="0" borderId="0" xfId="48" applyNumberFormat="1" applyFont="1" applyFill="1" applyBorder="1" applyProtection="1">
      <alignment/>
      <protection locked="0"/>
    </xf>
    <xf numFmtId="4" fontId="4" fillId="0" borderId="0" xfId="48" applyNumberFormat="1" applyFont="1" applyFill="1" applyBorder="1" applyProtection="1">
      <alignment/>
      <protection locked="0"/>
    </xf>
    <xf numFmtId="0" fontId="2" fillId="0" borderId="29" xfId="48" applyFont="1" applyFill="1" applyBorder="1" applyAlignment="1" applyProtection="1">
      <alignment horizontal="left"/>
      <protection locked="0"/>
    </xf>
    <xf numFmtId="0" fontId="2" fillId="7" borderId="29" xfId="48" applyFont="1" applyFill="1" applyBorder="1" applyAlignment="1" applyProtection="1">
      <alignment horizontal="left"/>
      <protection locked="0"/>
    </xf>
    <xf numFmtId="3" fontId="2" fillId="7" borderId="27" xfId="48" applyNumberFormat="1" applyFont="1" applyFill="1" applyBorder="1" applyAlignment="1" applyProtection="1">
      <alignment horizontal="right"/>
      <protection locked="0"/>
    </xf>
    <xf numFmtId="3" fontId="2" fillId="0" borderId="33" xfId="48" applyNumberFormat="1" applyFont="1" applyFill="1" applyBorder="1" applyAlignment="1" applyProtection="1">
      <alignment horizontal="right"/>
      <protection locked="0"/>
    </xf>
    <xf numFmtId="4" fontId="2" fillId="0" borderId="33" xfId="48" applyNumberFormat="1" applyFont="1" applyFill="1" applyBorder="1" applyAlignment="1" applyProtection="1">
      <alignment horizontal="right"/>
      <protection locked="0"/>
    </xf>
    <xf numFmtId="49" fontId="2" fillId="0" borderId="26" xfId="48" applyNumberFormat="1" applyFont="1" applyFill="1" applyBorder="1" applyAlignment="1" applyProtection="1">
      <alignment horizontal="left"/>
      <protection locked="0"/>
    </xf>
    <xf numFmtId="49" fontId="4" fillId="0" borderId="12" xfId="48" applyNumberFormat="1" applyFont="1" applyFill="1" applyBorder="1" applyAlignment="1" applyProtection="1">
      <alignment horizontal="left"/>
      <protection locked="0"/>
    </xf>
    <xf numFmtId="3" fontId="4" fillId="0" borderId="0" xfId="48" applyNumberFormat="1" applyFont="1" applyFill="1" applyBorder="1" applyAlignment="1" applyProtection="1">
      <alignment horizontal="right"/>
      <protection locked="0"/>
    </xf>
    <xf numFmtId="4" fontId="4" fillId="0" borderId="0" xfId="48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2" fillId="0" borderId="32" xfId="48" applyFont="1" applyFill="1" applyBorder="1" applyAlignment="1" applyProtection="1">
      <alignment horizontal="left"/>
      <protection locked="0"/>
    </xf>
    <xf numFmtId="49" fontId="0" fillId="0" borderId="29" xfId="48" applyNumberFormat="1" applyFont="1" applyFill="1" applyBorder="1" applyProtection="1">
      <alignment/>
      <protection locked="0"/>
    </xf>
    <xf numFmtId="49" fontId="2" fillId="0" borderId="29" xfId="48" applyNumberFormat="1" applyFont="1" applyFill="1" applyBorder="1" applyProtection="1">
      <alignment/>
      <protection locked="0"/>
    </xf>
    <xf numFmtId="49" fontId="2" fillId="0" borderId="29" xfId="48" applyNumberFormat="1" applyFont="1" applyFill="1" applyBorder="1" applyProtection="1">
      <alignment/>
      <protection locked="0"/>
    </xf>
    <xf numFmtId="49" fontId="2" fillId="7" borderId="29" xfId="48" applyNumberFormat="1" applyFont="1" applyFill="1" applyBorder="1" applyAlignment="1" applyProtection="1">
      <alignment horizontal="left"/>
      <protection locked="0"/>
    </xf>
    <xf numFmtId="4" fontId="2" fillId="0" borderId="27" xfId="48" applyNumberFormat="1" applyFill="1" applyBorder="1" applyProtection="1">
      <alignment/>
      <protection locked="0"/>
    </xf>
    <xf numFmtId="0" fontId="0" fillId="0" borderId="29" xfId="48" applyFont="1" applyFill="1" applyBorder="1" applyProtection="1">
      <alignment/>
      <protection locked="0"/>
    </xf>
    <xf numFmtId="3" fontId="2" fillId="0" borderId="27" xfId="48" applyNumberFormat="1" applyFill="1" applyBorder="1" applyProtection="1">
      <alignment/>
      <protection locked="0"/>
    </xf>
    <xf numFmtId="0" fontId="2" fillId="0" borderId="32" xfId="48" applyFill="1" applyBorder="1" applyProtection="1">
      <alignment/>
      <protection locked="0"/>
    </xf>
    <xf numFmtId="3" fontId="2" fillId="0" borderId="33" xfId="48" applyNumberFormat="1" applyFill="1" applyBorder="1" applyProtection="1">
      <alignment/>
      <protection locked="0"/>
    </xf>
    <xf numFmtId="4" fontId="2" fillId="0" borderId="33" xfId="48" applyNumberFormat="1" applyFill="1" applyBorder="1" applyProtection="1">
      <alignment/>
      <protection locked="0"/>
    </xf>
    <xf numFmtId="0" fontId="2" fillId="7" borderId="29" xfId="48" applyFont="1" applyFill="1" applyBorder="1" applyProtection="1">
      <alignment/>
      <protection locked="0"/>
    </xf>
    <xf numFmtId="4" fontId="2" fillId="7" borderId="27" xfId="48" applyNumberFormat="1" applyFill="1" applyBorder="1" applyProtection="1">
      <alignment/>
      <protection locked="0"/>
    </xf>
    <xf numFmtId="4" fontId="2" fillId="0" borderId="31" xfId="48" applyNumberFormat="1" applyFill="1" applyBorder="1" applyProtection="1">
      <alignment/>
      <protection locked="0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2" xfId="0" applyFill="1" applyBorder="1" applyAlignment="1">
      <alignment/>
    </xf>
    <xf numFmtId="2" fontId="2" fillId="0" borderId="27" xfId="48" applyNumberFormat="1" applyFill="1" applyBorder="1" applyProtection="1">
      <alignment/>
      <protection locked="0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29" xfId="48" applyFont="1" applyFill="1" applyBorder="1" applyAlignment="1" applyProtection="1">
      <alignment horizontal="left"/>
      <protection locked="0"/>
    </xf>
    <xf numFmtId="4" fontId="2" fillId="0" borderId="27" xfId="48" applyNumberFormat="1" applyFont="1" applyFill="1" applyBorder="1" applyProtection="1">
      <alignment/>
      <protection locked="0"/>
    </xf>
    <xf numFmtId="0" fontId="4" fillId="0" borderId="29" xfId="47" applyFont="1" applyFill="1" applyBorder="1" applyProtection="1">
      <alignment/>
      <protection locked="0"/>
    </xf>
    <xf numFmtId="49" fontId="2" fillId="7" borderId="29" xfId="48" applyNumberFormat="1" applyFont="1" applyFill="1" applyBorder="1" applyAlignment="1" applyProtection="1">
      <alignment horizontal="left"/>
      <protection locked="0"/>
    </xf>
    <xf numFmtId="3" fontId="2" fillId="7" borderId="27" xfId="48" applyNumberFormat="1" applyFill="1" applyBorder="1" applyProtection="1">
      <alignment/>
      <protection locked="0"/>
    </xf>
    <xf numFmtId="3" fontId="2" fillId="0" borderId="27" xfId="48" applyNumberFormat="1" applyFont="1" applyFill="1" applyBorder="1" applyProtection="1">
      <alignment/>
      <protection locked="0"/>
    </xf>
    <xf numFmtId="0" fontId="4" fillId="0" borderId="29" xfId="48" applyFont="1" applyFill="1" applyBorder="1" applyProtection="1">
      <alignment/>
      <protection locked="0"/>
    </xf>
    <xf numFmtId="0" fontId="4" fillId="0" borderId="12" xfId="48" applyFont="1" applyFill="1" applyBorder="1" applyProtection="1">
      <alignment/>
      <protection locked="0"/>
    </xf>
    <xf numFmtId="3" fontId="4" fillId="0" borderId="0" xfId="48" applyNumberFormat="1" applyFont="1" applyFill="1" applyBorder="1" applyProtection="1">
      <alignment/>
      <protection locked="0"/>
    </xf>
    <xf numFmtId="4" fontId="4" fillId="0" borderId="0" xfId="48" applyNumberFormat="1" applyFont="1" applyFill="1" applyBorder="1" applyProtection="1">
      <alignment/>
      <protection locked="0"/>
    </xf>
    <xf numFmtId="0" fontId="0" fillId="0" borderId="29" xfId="47" applyFont="1" applyFill="1" applyBorder="1" applyAlignment="1" applyProtection="1">
      <alignment horizontal="left"/>
      <protection locked="0"/>
    </xf>
    <xf numFmtId="0" fontId="0" fillId="0" borderId="12" xfId="47" applyFont="1" applyFill="1" applyBorder="1" applyAlignment="1" applyProtection="1">
      <alignment horizontal="left"/>
      <protection locked="0"/>
    </xf>
    <xf numFmtId="3" fontId="2" fillId="0" borderId="0" xfId="48" applyNumberFormat="1" applyFont="1" applyFill="1" applyBorder="1" applyAlignment="1" applyProtection="1">
      <alignment horizontal="right"/>
      <protection locked="0"/>
    </xf>
    <xf numFmtId="0" fontId="0" fillId="0" borderId="29" xfId="47" applyFont="1" applyFill="1" applyBorder="1" applyProtection="1">
      <alignment/>
      <protection locked="0"/>
    </xf>
    <xf numFmtId="0" fontId="2" fillId="0" borderId="34" xfId="48" applyFont="1" applyFill="1" applyBorder="1" applyProtection="1">
      <alignment/>
      <protection locked="0"/>
    </xf>
    <xf numFmtId="4" fontId="2" fillId="0" borderId="0" xfId="47" applyNumberFormat="1" applyFont="1" applyFill="1" applyBorder="1" applyAlignment="1" applyProtection="1">
      <alignment horizontal="right"/>
      <protection locked="0"/>
    </xf>
    <xf numFmtId="4" fontId="6" fillId="0" borderId="27" xfId="48" applyNumberFormat="1" applyFont="1" applyFill="1" applyBorder="1" applyAlignment="1" applyProtection="1">
      <alignment horizontal="right"/>
      <protection locked="0"/>
    </xf>
    <xf numFmtId="0" fontId="2" fillId="0" borderId="29" xfId="47" applyFont="1" applyFill="1" applyBorder="1" applyProtection="1">
      <alignment/>
      <protection locked="0"/>
    </xf>
    <xf numFmtId="3" fontId="2" fillId="0" borderId="33" xfId="48" applyNumberFormat="1" applyFont="1" applyFill="1" applyBorder="1" applyAlignment="1" applyProtection="1">
      <alignment horizontal="right"/>
      <protection locked="0"/>
    </xf>
    <xf numFmtId="4" fontId="6" fillId="0" borderId="33" xfId="48" applyNumberFormat="1" applyFont="1" applyFill="1" applyBorder="1" applyAlignment="1" applyProtection="1">
      <alignment horizontal="right"/>
      <protection locked="0"/>
    </xf>
    <xf numFmtId="0" fontId="4" fillId="0" borderId="12" xfId="47" applyFont="1" applyFill="1" applyBorder="1" applyProtection="1">
      <alignment/>
      <protection locked="0"/>
    </xf>
    <xf numFmtId="3" fontId="2" fillId="0" borderId="31" xfId="48" applyNumberFormat="1" applyFont="1" applyFill="1" applyBorder="1" applyAlignment="1" applyProtection="1">
      <alignment horizontal="right"/>
      <protection locked="0"/>
    </xf>
    <xf numFmtId="0" fontId="2" fillId="0" borderId="12" xfId="47" applyFont="1" applyFill="1" applyBorder="1" applyProtection="1">
      <alignment/>
      <protection locked="0"/>
    </xf>
    <xf numFmtId="3" fontId="2" fillId="0" borderId="0" xfId="47" applyNumberFormat="1" applyFont="1" applyFill="1" applyBorder="1" applyAlignment="1" applyProtection="1">
      <alignment horizontal="right"/>
      <protection locked="0"/>
    </xf>
    <xf numFmtId="4" fontId="2" fillId="0" borderId="0" xfId="47" applyNumberFormat="1" applyFont="1" applyFill="1" applyBorder="1" applyAlignment="1" applyProtection="1">
      <alignment horizontal="right"/>
      <protection locked="0"/>
    </xf>
    <xf numFmtId="3" fontId="2" fillId="0" borderId="0" xfId="47" applyNumberFormat="1" applyFont="1" applyFill="1" applyBorder="1" applyAlignment="1" applyProtection="1">
      <alignment horizontal="right"/>
      <protection locked="0"/>
    </xf>
    <xf numFmtId="49" fontId="4" fillId="0" borderId="29" xfId="48" applyNumberFormat="1" applyFont="1" applyFill="1" applyBorder="1" applyAlignment="1" applyProtection="1">
      <alignment horizontal="left"/>
      <protection locked="0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3" fontId="8" fillId="0" borderId="31" xfId="48" applyNumberFormat="1" applyFont="1" applyFill="1" applyBorder="1" applyAlignment="1" applyProtection="1">
      <alignment horizontal="right"/>
      <protection locked="0"/>
    </xf>
    <xf numFmtId="4" fontId="8" fillId="0" borderId="31" xfId="48" applyNumberFormat="1" applyFont="1" applyFill="1" applyBorder="1" applyAlignment="1" applyProtection="1">
      <alignment horizontal="right"/>
      <protection locked="0"/>
    </xf>
    <xf numFmtId="49" fontId="47" fillId="0" borderId="29" xfId="48" applyNumberFormat="1" applyFont="1" applyFill="1" applyBorder="1" applyAlignment="1" applyProtection="1">
      <alignment horizontal="left"/>
      <protection locked="0"/>
    </xf>
    <xf numFmtId="49" fontId="47" fillId="7" borderId="29" xfId="48" applyNumberFormat="1" applyFont="1" applyFill="1" applyBorder="1" applyAlignment="1" applyProtection="1">
      <alignment horizontal="left"/>
      <protection locked="0"/>
    </xf>
    <xf numFmtId="4" fontId="2" fillId="7" borderId="27" xfId="48" applyNumberFormat="1" applyFont="1" applyFill="1" applyBorder="1" applyProtection="1">
      <alignment/>
      <protection locked="0"/>
    </xf>
    <xf numFmtId="49" fontId="47" fillId="0" borderId="32" xfId="48" applyNumberFormat="1" applyFont="1" applyFill="1" applyBorder="1" applyAlignment="1" applyProtection="1">
      <alignment horizontal="left"/>
      <protection locked="0"/>
    </xf>
    <xf numFmtId="49" fontId="2" fillId="0" borderId="34" xfId="48" applyNumberFormat="1" applyFont="1" applyFill="1" applyBorder="1" applyAlignment="1" applyProtection="1">
      <alignment horizontal="left"/>
      <protection locked="0"/>
    </xf>
    <xf numFmtId="3" fontId="8" fillId="0" borderId="35" xfId="48" applyNumberFormat="1" applyFont="1" applyFill="1" applyBorder="1" applyAlignment="1" applyProtection="1">
      <alignment horizontal="right"/>
      <protection locked="0"/>
    </xf>
    <xf numFmtId="4" fontId="8" fillId="0" borderId="35" xfId="48" applyNumberFormat="1" applyFont="1" applyFill="1" applyBorder="1" applyAlignment="1" applyProtection="1">
      <alignment horizontal="right"/>
      <protection locked="0"/>
    </xf>
    <xf numFmtId="4" fontId="6" fillId="0" borderId="0" xfId="48" applyNumberFormat="1" applyFont="1" applyFill="1" applyBorder="1" applyAlignment="1" applyProtection="1">
      <alignment horizontal="right"/>
      <protection locked="0"/>
    </xf>
    <xf numFmtId="49" fontId="2" fillId="0" borderId="12" xfId="48" applyNumberFormat="1" applyFont="1" applyFill="1" applyBorder="1" applyAlignment="1" applyProtection="1">
      <alignment horizontal="left"/>
      <protection locked="0"/>
    </xf>
    <xf numFmtId="3" fontId="2" fillId="0" borderId="31" xfId="48" applyNumberFormat="1" applyFont="1" applyFill="1" applyBorder="1" applyProtection="1">
      <alignment/>
      <protection locked="0"/>
    </xf>
    <xf numFmtId="0" fontId="11" fillId="0" borderId="29" xfId="47" applyFont="1" applyFill="1" applyBorder="1" applyAlignment="1" applyProtection="1">
      <alignment horizontal="center"/>
      <protection locked="0"/>
    </xf>
    <xf numFmtId="3" fontId="11" fillId="0" borderId="27" xfId="48" applyNumberFormat="1" applyFont="1" applyFill="1" applyBorder="1" applyAlignment="1" applyProtection="1">
      <alignment horizontal="right"/>
      <protection locked="0"/>
    </xf>
    <xf numFmtId="4" fontId="11" fillId="0" borderId="27" xfId="48" applyNumberFormat="1" applyFont="1" applyFill="1" applyBorder="1" applyAlignment="1" applyProtection="1">
      <alignment horizontal="right"/>
      <protection locked="0"/>
    </xf>
    <xf numFmtId="4" fontId="4" fillId="0" borderId="30" xfId="48" applyNumberFormat="1" applyFont="1" applyFill="1" applyBorder="1" applyProtection="1">
      <alignment/>
      <protection locked="0"/>
    </xf>
    <xf numFmtId="0" fontId="2" fillId="0" borderId="29" xfId="48" applyFont="1" applyFill="1" applyBorder="1" applyAlignment="1" applyProtection="1">
      <alignment/>
      <protection locked="0"/>
    </xf>
    <xf numFmtId="0" fontId="0" fillId="0" borderId="29" xfId="48" applyFont="1" applyFill="1" applyBorder="1" applyAlignment="1" applyProtection="1">
      <alignment/>
      <protection locked="0"/>
    </xf>
    <xf numFmtId="0" fontId="0" fillId="0" borderId="12" xfId="47" applyFont="1" applyFill="1" applyBorder="1" applyProtection="1">
      <alignment/>
      <protection locked="0"/>
    </xf>
    <xf numFmtId="0" fontId="0" fillId="0" borderId="12" xfId="48" applyFont="1" applyFill="1" applyBorder="1" applyProtection="1">
      <alignment/>
      <protection locked="0"/>
    </xf>
    <xf numFmtId="3" fontId="2" fillId="0" borderId="0" xfId="48" applyNumberFormat="1" applyFont="1" applyFill="1" applyBorder="1" applyProtection="1">
      <alignment/>
      <protection locked="0"/>
    </xf>
    <xf numFmtId="4" fontId="2" fillId="0" borderId="0" xfId="48" applyNumberFormat="1" applyFont="1" applyFill="1" applyBorder="1" applyProtection="1">
      <alignment/>
      <protection locked="0"/>
    </xf>
    <xf numFmtId="4" fontId="4" fillId="0" borderId="30" xfId="48" applyNumberFormat="1" applyFont="1" applyFill="1" applyBorder="1" applyAlignment="1" applyProtection="1">
      <alignment horizontal="right"/>
      <protection locked="0"/>
    </xf>
    <xf numFmtId="0" fontId="2" fillId="0" borderId="12" xfId="48" applyFont="1" applyFill="1" applyBorder="1" applyProtection="1">
      <alignment/>
      <protection locked="0"/>
    </xf>
    <xf numFmtId="3" fontId="4" fillId="0" borderId="31" xfId="48" applyNumberFormat="1" applyFont="1" applyFill="1" applyBorder="1" applyAlignment="1" applyProtection="1">
      <alignment horizontal="right"/>
      <protection locked="0"/>
    </xf>
    <xf numFmtId="49" fontId="2" fillId="0" borderId="12" xfId="48" applyNumberFormat="1" applyFont="1" applyFill="1" applyBorder="1" applyAlignment="1" applyProtection="1">
      <alignment horizontal="left"/>
      <protection locked="0"/>
    </xf>
    <xf numFmtId="49" fontId="4" fillId="0" borderId="29" xfId="48" applyNumberFormat="1" applyFont="1" applyFill="1" applyBorder="1" applyProtection="1">
      <alignment/>
      <protection locked="0"/>
    </xf>
    <xf numFmtId="4" fontId="2" fillId="7" borderId="27" xfId="48" applyNumberFormat="1" applyFont="1" applyFill="1" applyBorder="1" applyProtection="1">
      <alignment/>
      <protection locked="0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2" fontId="0" fillId="0" borderId="27" xfId="0" applyNumberFormat="1" applyFill="1" applyBorder="1" applyAlignment="1">
      <alignment/>
    </xf>
    <xf numFmtId="4" fontId="2" fillId="0" borderId="12" xfId="48" applyNumberFormat="1" applyFont="1" applyFill="1" applyBorder="1" applyAlignment="1" applyProtection="1">
      <alignment horizontal="right"/>
      <protection locked="0"/>
    </xf>
    <xf numFmtId="49" fontId="2" fillId="7" borderId="29" xfId="48" applyNumberFormat="1" applyFont="1" applyFill="1" applyBorder="1" applyProtection="1">
      <alignment/>
      <protection locked="0"/>
    </xf>
    <xf numFmtId="0" fontId="0" fillId="0" borderId="0" xfId="48" applyFont="1" applyFill="1" applyBorder="1" applyProtection="1">
      <alignment/>
      <protection locked="0"/>
    </xf>
    <xf numFmtId="49" fontId="4" fillId="0" borderId="12" xfId="0" applyNumberFormat="1" applyFont="1" applyFill="1" applyBorder="1" applyAlignment="1" applyProtection="1">
      <alignment/>
      <protection locked="0"/>
    </xf>
    <xf numFmtId="49" fontId="4" fillId="0" borderId="29" xfId="0" applyNumberFormat="1" applyFont="1" applyFill="1" applyBorder="1" applyAlignment="1" applyProtection="1">
      <alignment/>
      <protection locked="0"/>
    </xf>
    <xf numFmtId="49" fontId="2" fillId="7" borderId="29" xfId="0" applyNumberFormat="1" applyFont="1" applyFill="1" applyBorder="1" applyAlignment="1" applyProtection="1">
      <alignment horizontal="left"/>
      <protection locked="0"/>
    </xf>
    <xf numFmtId="49" fontId="2" fillId="0" borderId="31" xfId="48" applyNumberFormat="1" applyFont="1" applyFill="1" applyBorder="1" applyAlignment="1" applyProtection="1">
      <alignment horizontal="left"/>
      <protection locked="0"/>
    </xf>
    <xf numFmtId="4" fontId="6" fillId="0" borderId="33" xfId="48" applyNumberFormat="1" applyFont="1" applyFill="1" applyBorder="1" applyAlignment="1" applyProtection="1">
      <alignment horizontal="right"/>
      <protection locked="0"/>
    </xf>
    <xf numFmtId="4" fontId="6" fillId="0" borderId="0" xfId="48" applyNumberFormat="1" applyFont="1" applyFill="1" applyBorder="1" applyAlignment="1" applyProtection="1">
      <alignment horizontal="right"/>
      <protection locked="0"/>
    </xf>
    <xf numFmtId="3" fontId="2" fillId="0" borderId="35" xfId="48" applyNumberFormat="1" applyFont="1" applyFill="1" applyBorder="1" applyAlignment="1" applyProtection="1">
      <alignment horizontal="right"/>
      <protection locked="0"/>
    </xf>
    <xf numFmtId="4" fontId="2" fillId="0" borderId="35" xfId="48" applyNumberFormat="1" applyFont="1" applyFill="1" applyBorder="1" applyAlignment="1" applyProtection="1">
      <alignment horizontal="right"/>
      <protection locked="0"/>
    </xf>
    <xf numFmtId="0" fontId="0" fillId="0" borderId="34" xfId="48" applyFont="1" applyFill="1" applyBorder="1" applyProtection="1">
      <alignment/>
      <protection locked="0"/>
    </xf>
    <xf numFmtId="0" fontId="0" fillId="0" borderId="32" xfId="48" applyFont="1" applyFill="1" applyBorder="1" applyProtection="1">
      <alignment/>
      <protection locked="0"/>
    </xf>
    <xf numFmtId="49" fontId="4" fillId="0" borderId="29" xfId="46" applyNumberFormat="1" applyFont="1" applyFill="1" applyBorder="1" applyProtection="1">
      <alignment/>
      <protection locked="0"/>
    </xf>
    <xf numFmtId="49" fontId="0" fillId="0" borderId="29" xfId="46" applyNumberFormat="1" applyFont="1" applyFill="1" applyBorder="1" applyProtection="1">
      <alignment/>
      <protection locked="0"/>
    </xf>
    <xf numFmtId="0" fontId="2" fillId="0" borderId="12" xfId="48" applyFont="1" applyFill="1" applyBorder="1" applyAlignment="1" applyProtection="1">
      <alignment/>
      <protection locked="0"/>
    </xf>
    <xf numFmtId="0" fontId="2" fillId="0" borderId="0" xfId="48" applyFont="1" applyFill="1" applyBorder="1" applyAlignment="1" applyProtection="1">
      <alignment/>
      <protection locked="0"/>
    </xf>
    <xf numFmtId="4" fontId="2" fillId="0" borderId="0" xfId="48" applyNumberFormat="1" applyFont="1" applyFill="1" applyBorder="1" applyAlignment="1" applyProtection="1">
      <alignment/>
      <protection locked="0"/>
    </xf>
    <xf numFmtId="3" fontId="2" fillId="0" borderId="0" xfId="48" applyNumberFormat="1" applyFont="1" applyFill="1" applyBorder="1" applyAlignment="1" applyProtection="1">
      <alignment/>
      <protection locked="0"/>
    </xf>
    <xf numFmtId="0" fontId="4" fillId="0" borderId="12" xfId="48" applyFont="1" applyFill="1" applyBorder="1" applyAlignment="1" applyProtection="1">
      <alignment/>
      <protection locked="0"/>
    </xf>
    <xf numFmtId="4" fontId="2" fillId="0" borderId="27" xfId="47" applyNumberFormat="1" applyFont="1" applyFill="1" applyBorder="1" applyProtection="1">
      <alignment/>
      <protection locked="0"/>
    </xf>
    <xf numFmtId="2" fontId="4" fillId="0" borderId="27" xfId="48" applyNumberFormat="1" applyFont="1" applyFill="1" applyBorder="1" applyProtection="1">
      <alignment/>
      <protection locked="0"/>
    </xf>
    <xf numFmtId="49" fontId="4" fillId="0" borderId="12" xfId="48" applyNumberFormat="1" applyFont="1" applyFill="1" applyBorder="1" applyAlignment="1">
      <alignment horizontal="left"/>
      <protection/>
    </xf>
    <xf numFmtId="49" fontId="4" fillId="0" borderId="29" xfId="48" applyNumberFormat="1" applyFont="1" applyFill="1" applyBorder="1" applyAlignment="1">
      <alignment horizontal="left"/>
      <protection/>
    </xf>
    <xf numFmtId="49" fontId="2" fillId="0" borderId="29" xfId="48" applyNumberFormat="1" applyFont="1" applyFill="1" applyBorder="1" applyAlignment="1">
      <alignment horizontal="left"/>
      <protection/>
    </xf>
    <xf numFmtId="0" fontId="2" fillId="0" borderId="29" xfId="48" applyFill="1" applyBorder="1" applyAlignment="1" applyProtection="1">
      <alignment horizontal="left"/>
      <protection locked="0"/>
    </xf>
    <xf numFmtId="0" fontId="2" fillId="0" borderId="12" xfId="48" applyFill="1" applyBorder="1" applyAlignment="1" applyProtection="1">
      <alignment horizontal="left"/>
      <protection locked="0"/>
    </xf>
    <xf numFmtId="4" fontId="2" fillId="0" borderId="31" xfId="48" applyNumberFormat="1" applyFont="1" applyFill="1" applyBorder="1" applyProtection="1">
      <alignment/>
      <protection locked="0"/>
    </xf>
    <xf numFmtId="0" fontId="4" fillId="0" borderId="32" xfId="48" applyFont="1" applyFill="1" applyBorder="1" applyProtection="1">
      <alignment/>
      <protection locked="0"/>
    </xf>
    <xf numFmtId="3" fontId="4" fillId="0" borderId="33" xfId="48" applyNumberFormat="1" applyFont="1" applyFill="1" applyBorder="1" applyProtection="1">
      <alignment/>
      <protection locked="0"/>
    </xf>
    <xf numFmtId="4" fontId="4" fillId="0" borderId="33" xfId="48" applyNumberFormat="1" applyFont="1" applyFill="1" applyBorder="1" applyProtection="1">
      <alignment/>
      <protection locked="0"/>
    </xf>
    <xf numFmtId="0" fontId="4" fillId="0" borderId="29" xfId="48" applyFont="1" applyFill="1" applyBorder="1" applyAlignment="1" applyProtection="1">
      <alignment/>
      <protection locked="0"/>
    </xf>
    <xf numFmtId="0" fontId="2" fillId="0" borderId="29" xfId="48" applyFont="1" applyFill="1" applyBorder="1" applyAlignment="1" applyProtection="1">
      <alignment/>
      <protection locked="0"/>
    </xf>
    <xf numFmtId="2" fontId="2" fillId="0" borderId="27" xfId="48" applyNumberFormat="1" applyFont="1" applyFill="1" applyBorder="1" applyAlignment="1" applyProtection="1">
      <alignment horizontal="right"/>
      <protection locked="0"/>
    </xf>
    <xf numFmtId="0" fontId="0" fillId="0" borderId="29" xfId="0" applyFill="1" applyBorder="1" applyAlignment="1">
      <alignment/>
    </xf>
    <xf numFmtId="3" fontId="0" fillId="0" borderId="27" xfId="0" applyNumberForma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6" fillId="0" borderId="27" xfId="48" applyNumberFormat="1" applyFont="1" applyFill="1" applyBorder="1" applyAlignment="1" applyProtection="1">
      <alignment horizontal="right"/>
      <protection locked="0"/>
    </xf>
    <xf numFmtId="4" fontId="0" fillId="0" borderId="27" xfId="48" applyNumberFormat="1" applyFont="1" applyFill="1" applyBorder="1" applyProtection="1">
      <alignment/>
      <protection locked="0"/>
    </xf>
    <xf numFmtId="3" fontId="2" fillId="7" borderId="27" xfId="48" applyNumberFormat="1" applyFont="1" applyFill="1" applyBorder="1" applyProtection="1">
      <alignment/>
      <protection locked="0"/>
    </xf>
    <xf numFmtId="4" fontId="0" fillId="7" borderId="27" xfId="48" applyNumberFormat="1" applyFont="1" applyFill="1" applyBorder="1" applyProtection="1">
      <alignment/>
      <protection locked="0"/>
    </xf>
    <xf numFmtId="49" fontId="2" fillId="0" borderId="32" xfId="48" applyNumberFormat="1" applyFont="1" applyFill="1" applyBorder="1" applyAlignment="1" applyProtection="1">
      <alignment horizontal="left"/>
      <protection locked="0"/>
    </xf>
    <xf numFmtId="0" fontId="2" fillId="0" borderId="32" xfId="48" applyFill="1" applyBorder="1" applyAlignment="1" applyProtection="1">
      <alignment horizontal="left"/>
      <protection locked="0"/>
    </xf>
    <xf numFmtId="4" fontId="2" fillId="0" borderId="12" xfId="48" applyNumberFormat="1" applyFont="1" applyFill="1" applyBorder="1" applyAlignment="1" applyProtection="1">
      <alignment horizontal="left"/>
      <protection locked="0"/>
    </xf>
    <xf numFmtId="0" fontId="2" fillId="7" borderId="29" xfId="47" applyFont="1" applyFill="1" applyBorder="1" applyProtection="1">
      <alignment/>
      <protection locked="0"/>
    </xf>
    <xf numFmtId="4" fontId="2" fillId="7" borderId="27" xfId="47" applyNumberFormat="1" applyFont="1" applyFill="1" applyBorder="1" applyAlignment="1" applyProtection="1">
      <alignment horizontal="right"/>
      <protection locked="0"/>
    </xf>
    <xf numFmtId="3" fontId="4" fillId="0" borderId="12" xfId="47" applyNumberFormat="1" applyFont="1" applyFill="1" applyBorder="1" applyAlignment="1" applyProtection="1">
      <alignment horizontal="left"/>
      <protection locked="0"/>
    </xf>
    <xf numFmtId="3" fontId="4" fillId="0" borderId="0" xfId="47" applyNumberFormat="1" applyFont="1" applyFill="1" applyBorder="1" applyAlignment="1" applyProtection="1">
      <alignment horizontal="right"/>
      <protection locked="0"/>
    </xf>
    <xf numFmtId="4" fontId="4" fillId="0" borderId="0" xfId="47" applyNumberFormat="1" applyFont="1" applyFill="1" applyBorder="1" applyAlignment="1" applyProtection="1">
      <alignment horizontal="right"/>
      <protection locked="0"/>
    </xf>
    <xf numFmtId="49" fontId="2" fillId="0" borderId="34" xfId="48" applyNumberFormat="1" applyFont="1" applyFill="1" applyBorder="1" applyProtection="1">
      <alignment/>
      <protection locked="0"/>
    </xf>
    <xf numFmtId="3" fontId="2" fillId="0" borderId="35" xfId="48" applyNumberFormat="1" applyFill="1" applyBorder="1" applyProtection="1">
      <alignment/>
      <protection locked="0"/>
    </xf>
    <xf numFmtId="4" fontId="2" fillId="0" borderId="35" xfId="48" applyNumberFormat="1" applyFill="1" applyBorder="1" applyProtection="1">
      <alignment/>
      <protection locked="0"/>
    </xf>
    <xf numFmtId="0" fontId="4" fillId="0" borderId="29" xfId="48" applyFont="1" applyFill="1" applyBorder="1" applyAlignment="1" applyProtection="1">
      <alignment horizontal="left"/>
      <protection locked="0"/>
    </xf>
    <xf numFmtId="0" fontId="2" fillId="0" borderId="29" xfId="48" applyFont="1" applyFill="1" applyBorder="1" applyProtection="1">
      <alignment/>
      <protection locked="0"/>
    </xf>
    <xf numFmtId="49" fontId="4" fillId="0" borderId="12" xfId="48" applyNumberFormat="1" applyFont="1" applyFill="1" applyBorder="1" applyProtection="1">
      <alignment/>
      <protection locked="0"/>
    </xf>
    <xf numFmtId="0" fontId="0" fillId="0" borderId="29" xfId="48" applyFont="1" applyFill="1" applyBorder="1" applyAlignment="1" applyProtection="1">
      <alignment wrapText="1"/>
      <protection locked="0"/>
    </xf>
    <xf numFmtId="49" fontId="2" fillId="0" borderId="12" xfId="48" applyNumberFormat="1" applyFont="1" applyFill="1" applyBorder="1" applyProtection="1">
      <alignment/>
      <protection locked="0"/>
    </xf>
    <xf numFmtId="49" fontId="2" fillId="0" borderId="36" xfId="48" applyNumberFormat="1" applyFont="1" applyFill="1" applyBorder="1" applyProtection="1">
      <alignment/>
      <protection locked="0"/>
    </xf>
    <xf numFmtId="49" fontId="2" fillId="0" borderId="36" xfId="48" applyNumberFormat="1" applyFont="1" applyFill="1" applyBorder="1" applyProtection="1">
      <alignment/>
      <protection locked="0"/>
    </xf>
    <xf numFmtId="3" fontId="2" fillId="0" borderId="37" xfId="48" applyNumberFormat="1" applyFill="1" applyBorder="1" applyProtection="1">
      <alignment/>
      <protection locked="0"/>
    </xf>
    <xf numFmtId="4" fontId="2" fillId="0" borderId="37" xfId="48" applyNumberFormat="1" applyFill="1" applyBorder="1" applyProtection="1">
      <alignment/>
      <protection locked="0"/>
    </xf>
    <xf numFmtId="0" fontId="4" fillId="0" borderId="38" xfId="48" applyFont="1" applyFill="1" applyBorder="1" applyProtection="1">
      <alignment/>
      <protection locked="0"/>
    </xf>
    <xf numFmtId="3" fontId="4" fillId="0" borderId="39" xfId="48" applyNumberFormat="1" applyFont="1" applyFill="1" applyBorder="1" applyProtection="1">
      <alignment/>
      <protection locked="0"/>
    </xf>
    <xf numFmtId="4" fontId="4" fillId="0" borderId="39" xfId="48" applyNumberFormat="1" applyFont="1" applyFill="1" applyBorder="1" applyProtection="1">
      <alignment/>
      <protection locked="0"/>
    </xf>
    <xf numFmtId="4" fontId="4" fillId="0" borderId="40" xfId="48" applyNumberFormat="1" applyFont="1" applyFill="1" applyBorder="1" applyProtection="1">
      <alignment/>
      <protection locked="0"/>
    </xf>
    <xf numFmtId="49" fontId="4" fillId="0" borderId="38" xfId="48" applyNumberFormat="1" applyFont="1" applyFill="1" applyBorder="1" applyProtection="1">
      <alignment/>
      <protection locked="0"/>
    </xf>
    <xf numFmtId="3" fontId="4" fillId="0" borderId="41" xfId="48" applyNumberFormat="1" applyFont="1" applyFill="1" applyBorder="1" applyAlignment="1" applyProtection="1">
      <alignment horizontal="right"/>
      <protection locked="0"/>
    </xf>
    <xf numFmtId="4" fontId="4" fillId="0" borderId="41" xfId="48" applyNumberFormat="1" applyFont="1" applyFill="1" applyBorder="1" applyAlignment="1" applyProtection="1">
      <alignment horizontal="right"/>
      <protection locked="0"/>
    </xf>
    <xf numFmtId="49" fontId="4" fillId="0" borderId="10" xfId="48" applyNumberFormat="1" applyFont="1" applyFill="1" applyBorder="1" applyAlignment="1" applyProtection="1">
      <alignment horizontal="center"/>
      <protection locked="0"/>
    </xf>
    <xf numFmtId="49" fontId="4" fillId="0" borderId="18" xfId="48" applyNumberFormat="1" applyFont="1" applyFill="1" applyBorder="1" applyAlignment="1" applyProtection="1">
      <alignment horizontal="center"/>
      <protection locked="0"/>
    </xf>
    <xf numFmtId="3" fontId="4" fillId="0" borderId="42" xfId="48" applyNumberFormat="1" applyFont="1" applyFill="1" applyBorder="1" applyAlignment="1" applyProtection="1">
      <alignment horizontal="center"/>
      <protection locked="0"/>
    </xf>
    <xf numFmtId="3" fontId="4" fillId="0" borderId="20" xfId="48" applyNumberFormat="1" applyFont="1" applyFill="1" applyBorder="1" applyAlignment="1" applyProtection="1">
      <alignment horizontal="center"/>
      <protection locked="0"/>
    </xf>
    <xf numFmtId="3" fontId="4" fillId="0" borderId="22" xfId="48" applyNumberFormat="1" applyFont="1" applyFill="1" applyBorder="1" applyProtection="1">
      <alignment/>
      <protection locked="0"/>
    </xf>
    <xf numFmtId="4" fontId="4" fillId="0" borderId="22" xfId="48" applyNumberFormat="1" applyFont="1" applyFill="1" applyBorder="1" applyProtection="1">
      <alignment/>
      <protection locked="0"/>
    </xf>
    <xf numFmtId="3" fontId="2" fillId="0" borderId="0" xfId="48" applyNumberFormat="1" applyFont="1" applyFill="1" applyBorder="1" applyAlignment="1" applyProtection="1">
      <alignment/>
      <protection locked="0"/>
    </xf>
    <xf numFmtId="49" fontId="4" fillId="0" borderId="29" xfId="48" applyNumberFormat="1" applyFont="1" applyFill="1" applyBorder="1" applyProtection="1">
      <alignment/>
      <protection locked="0"/>
    </xf>
    <xf numFmtId="4" fontId="2" fillId="0" borderId="0" xfId="48" applyNumberFormat="1" applyFont="1" applyFill="1" applyBorder="1" applyAlignment="1" applyProtection="1">
      <alignment/>
      <protection locked="0"/>
    </xf>
    <xf numFmtId="49" fontId="2" fillId="0" borderId="32" xfId="48" applyNumberFormat="1" applyFont="1" applyFill="1" applyBorder="1" applyProtection="1">
      <alignment/>
      <protection locked="0"/>
    </xf>
    <xf numFmtId="0" fontId="4" fillId="0" borderId="36" xfId="48" applyFont="1" applyFill="1" applyBorder="1" applyProtection="1">
      <alignment/>
      <protection locked="0"/>
    </xf>
    <xf numFmtId="49" fontId="4" fillId="0" borderId="23" xfId="48" applyNumberFormat="1" applyFont="1" applyFill="1" applyBorder="1" applyProtection="1">
      <alignment/>
      <protection locked="0"/>
    </xf>
    <xf numFmtId="3" fontId="4" fillId="0" borderId="43" xfId="48" applyNumberFormat="1" applyFont="1" applyFill="1" applyBorder="1" applyAlignment="1" applyProtection="1">
      <alignment horizontal="center"/>
      <protection locked="0"/>
    </xf>
    <xf numFmtId="3" fontId="4" fillId="0" borderId="44" xfId="48" applyNumberFormat="1" applyFont="1" applyFill="1" applyBorder="1" applyAlignment="1" applyProtection="1">
      <alignment horizontal="center"/>
      <protection locked="0"/>
    </xf>
    <xf numFmtId="49" fontId="2" fillId="0" borderId="28" xfId="48" applyNumberFormat="1" applyFont="1" applyFill="1" applyBorder="1" applyProtection="1">
      <alignment/>
      <protection locked="0"/>
    </xf>
    <xf numFmtId="3" fontId="2" fillId="0" borderId="45" xfId="47" applyNumberFormat="1" applyFont="1" applyFill="1" applyBorder="1" applyProtection="1">
      <alignment/>
      <protection locked="0"/>
    </xf>
    <xf numFmtId="2" fontId="2" fillId="0" borderId="22" xfId="47" applyNumberFormat="1" applyFont="1" applyFill="1" applyBorder="1" applyProtection="1">
      <alignment/>
      <protection locked="0"/>
    </xf>
    <xf numFmtId="2" fontId="2" fillId="0" borderId="46" xfId="47" applyNumberFormat="1" applyFont="1" applyFill="1" applyBorder="1" applyProtection="1">
      <alignment/>
      <protection locked="0"/>
    </xf>
    <xf numFmtId="3" fontId="2" fillId="0" borderId="47" xfId="48" applyNumberFormat="1" applyFont="1" applyFill="1" applyBorder="1" applyAlignment="1" applyProtection="1">
      <alignment horizontal="center"/>
      <protection locked="0"/>
    </xf>
    <xf numFmtId="3" fontId="2" fillId="0" borderId="48" xfId="47" applyNumberFormat="1" applyFont="1" applyFill="1" applyBorder="1" applyProtection="1">
      <alignment/>
      <protection locked="0"/>
    </xf>
    <xf numFmtId="49" fontId="4" fillId="0" borderId="47" xfId="48" applyNumberFormat="1" applyFont="1" applyFill="1" applyBorder="1" applyProtection="1">
      <alignment/>
      <protection locked="0"/>
    </xf>
    <xf numFmtId="3" fontId="2" fillId="0" borderId="47" xfId="48" applyNumberFormat="1" applyFont="1" applyFill="1" applyBorder="1" applyAlignment="1" applyProtection="1">
      <alignment horizontal="right"/>
      <protection locked="0"/>
    </xf>
    <xf numFmtId="3" fontId="2" fillId="0" borderId="20" xfId="48" applyNumberFormat="1" applyFont="1" applyFill="1" applyBorder="1" applyAlignment="1" applyProtection="1">
      <alignment horizontal="right"/>
      <protection locked="0"/>
    </xf>
    <xf numFmtId="4" fontId="2" fillId="0" borderId="20" xfId="48" applyNumberFormat="1" applyFont="1" applyFill="1" applyBorder="1" applyAlignment="1" applyProtection="1">
      <alignment/>
      <protection locked="0"/>
    </xf>
    <xf numFmtId="4" fontId="2" fillId="0" borderId="20" xfId="48" applyNumberFormat="1" applyFont="1" applyFill="1" applyBorder="1" applyAlignment="1" applyProtection="1">
      <alignment horizontal="center"/>
      <protection locked="0"/>
    </xf>
    <xf numFmtId="4" fontId="4" fillId="0" borderId="41" xfId="48" applyNumberFormat="1" applyFont="1" applyFill="1" applyBorder="1" applyProtection="1">
      <alignment/>
      <protection locked="0"/>
    </xf>
    <xf numFmtId="0" fontId="2" fillId="0" borderId="36" xfId="48" applyFont="1" applyFill="1" applyBorder="1" applyProtection="1">
      <alignment/>
      <protection locked="0"/>
    </xf>
    <xf numFmtId="0" fontId="2" fillId="0" borderId="37" xfId="48" applyFill="1" applyBorder="1" applyProtection="1">
      <alignment/>
      <protection locked="0"/>
    </xf>
    <xf numFmtId="3" fontId="2" fillId="0" borderId="12" xfId="48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4" fontId="2" fillId="0" borderId="0" xfId="48" applyNumberFormat="1" applyFont="1" applyFill="1" applyBorder="1" applyAlignment="1" applyProtection="1">
      <alignment horizontal="right"/>
      <protection locked="0"/>
    </xf>
    <xf numFmtId="3" fontId="2" fillId="0" borderId="0" xfId="48" applyNumberFormat="1" applyFont="1" applyFill="1" applyBorder="1" applyAlignment="1">
      <alignment horizontal="center"/>
      <protection/>
    </xf>
    <xf numFmtId="3" fontId="4" fillId="0" borderId="12" xfId="48" applyNumberFormat="1" applyFont="1" applyFill="1" applyBorder="1" applyAlignment="1">
      <alignment horizontal="left"/>
      <protection/>
    </xf>
    <xf numFmtId="3" fontId="4" fillId="0" borderId="0" xfId="48" applyNumberFormat="1" applyFont="1" applyFill="1" applyBorder="1" applyAlignment="1">
      <alignment horizontal="left"/>
      <protection/>
    </xf>
    <xf numFmtId="4" fontId="4" fillId="0" borderId="0" xfId="48" applyNumberFormat="1" applyFont="1" applyFill="1" applyBorder="1" applyAlignment="1" applyProtection="1">
      <alignment horizontal="right"/>
      <protection locked="0"/>
    </xf>
    <xf numFmtId="3" fontId="2" fillId="0" borderId="49" xfId="48" applyNumberFormat="1" applyFont="1" applyFill="1" applyBorder="1" applyAlignment="1">
      <alignment horizontal="center"/>
      <protection/>
    </xf>
    <xf numFmtId="3" fontId="4" fillId="0" borderId="13" xfId="48" applyNumberFormat="1" applyFont="1" applyFill="1" applyBorder="1" applyAlignment="1" applyProtection="1">
      <alignment horizontal="center" vertical="center"/>
      <protection locked="0"/>
    </xf>
    <xf numFmtId="4" fontId="4" fillId="0" borderId="50" xfId="48" applyNumberFormat="1" applyFont="1" applyFill="1" applyBorder="1" applyAlignment="1" applyProtection="1">
      <alignment horizontal="right"/>
      <protection locked="0"/>
    </xf>
    <xf numFmtId="0" fontId="5" fillId="0" borderId="49" xfId="48" applyNumberFormat="1" applyFont="1" applyFill="1" applyBorder="1" applyAlignment="1" applyProtection="1">
      <alignment vertical="center" wrapText="1"/>
      <protection locked="0"/>
    </xf>
    <xf numFmtId="4" fontId="2" fillId="0" borderId="49" xfId="48" applyNumberFormat="1" applyFont="1" applyFill="1" applyBorder="1" applyAlignment="1" applyProtection="1">
      <alignment horizontal="right"/>
      <protection locked="0"/>
    </xf>
    <xf numFmtId="0" fontId="2" fillId="0" borderId="49" xfId="47" applyFont="1" applyFill="1" applyBorder="1" applyProtection="1">
      <alignment/>
      <protection locked="0"/>
    </xf>
    <xf numFmtId="0" fontId="2" fillId="0" borderId="49" xfId="48" applyFill="1" applyBorder="1" applyProtection="1">
      <alignment/>
      <protection locked="0"/>
    </xf>
    <xf numFmtId="0" fontId="2" fillId="0" borderId="49" xfId="48" applyFont="1" applyFill="1" applyBorder="1" applyProtection="1">
      <alignment/>
      <protection locked="0"/>
    </xf>
    <xf numFmtId="4" fontId="2" fillId="0" borderId="30" xfId="48" applyNumberFormat="1" applyFont="1" applyFill="1" applyBorder="1" applyAlignment="1" applyProtection="1">
      <alignment horizontal="right"/>
      <protection locked="0"/>
    </xf>
    <xf numFmtId="4" fontId="2" fillId="0" borderId="51" xfId="48" applyNumberFormat="1" applyFont="1" applyFill="1" applyBorder="1" applyAlignment="1" applyProtection="1">
      <alignment horizontal="right"/>
      <protection locked="0"/>
    </xf>
    <xf numFmtId="0" fontId="2" fillId="0" borderId="51" xfId="48" applyFill="1" applyBorder="1" applyProtection="1">
      <alignment/>
      <protection locked="0"/>
    </xf>
    <xf numFmtId="2" fontId="2" fillId="0" borderId="30" xfId="47" applyNumberFormat="1" applyFont="1" applyFill="1" applyBorder="1" applyProtection="1">
      <alignment/>
      <protection locked="0"/>
    </xf>
    <xf numFmtId="4" fontId="4" fillId="0" borderId="52" xfId="48" applyNumberFormat="1" applyFont="1" applyFill="1" applyBorder="1" applyAlignment="1" applyProtection="1">
      <alignment horizontal="right"/>
      <protection locked="0"/>
    </xf>
    <xf numFmtId="4" fontId="2" fillId="0" borderId="49" xfId="48" applyNumberFormat="1" applyFont="1" applyFill="1" applyBorder="1" applyAlignment="1" applyProtection="1">
      <alignment horizontal="right"/>
      <protection locked="0"/>
    </xf>
    <xf numFmtId="4" fontId="2" fillId="0" borderId="30" xfId="48" applyNumberFormat="1" applyFont="1" applyFill="1" applyBorder="1" applyAlignment="1" applyProtection="1">
      <alignment horizontal="right"/>
      <protection locked="0"/>
    </xf>
    <xf numFmtId="4" fontId="2" fillId="7" borderId="30" xfId="48" applyNumberFormat="1" applyFont="1" applyFill="1" applyBorder="1" applyAlignment="1" applyProtection="1">
      <alignment horizontal="right"/>
      <protection locked="0"/>
    </xf>
    <xf numFmtId="4" fontId="2" fillId="0" borderId="52" xfId="48" applyNumberFormat="1" applyFont="1" applyFill="1" applyBorder="1" applyAlignment="1" applyProtection="1">
      <alignment horizontal="right"/>
      <protection locked="0"/>
    </xf>
    <xf numFmtId="0" fontId="2" fillId="0" borderId="51" xfId="47" applyFont="1" applyFill="1" applyBorder="1" applyProtection="1">
      <alignment/>
      <protection locked="0"/>
    </xf>
    <xf numFmtId="4" fontId="2" fillId="0" borderId="51" xfId="48" applyNumberFormat="1" applyFont="1" applyFill="1" applyBorder="1" applyAlignment="1" applyProtection="1">
      <alignment horizontal="right"/>
      <protection locked="0"/>
    </xf>
    <xf numFmtId="4" fontId="2" fillId="0" borderId="30" xfId="47" applyNumberFormat="1" applyFont="1" applyFill="1" applyBorder="1" applyProtection="1">
      <alignment/>
      <protection locked="0"/>
    </xf>
    <xf numFmtId="4" fontId="2" fillId="0" borderId="53" xfId="48" applyNumberFormat="1" applyFont="1" applyFill="1" applyBorder="1" applyAlignment="1" applyProtection="1">
      <alignment horizontal="right"/>
      <protection locked="0"/>
    </xf>
    <xf numFmtId="4" fontId="8" fillId="0" borderId="30" xfId="48" applyNumberFormat="1" applyFont="1" applyFill="1" applyBorder="1" applyAlignment="1" applyProtection="1">
      <alignment horizontal="right"/>
      <protection locked="0"/>
    </xf>
    <xf numFmtId="4" fontId="4" fillId="0" borderId="51" xfId="48" applyNumberFormat="1" applyFont="1" applyFill="1" applyBorder="1" applyAlignment="1" applyProtection="1">
      <alignment horizontal="right"/>
      <protection locked="0"/>
    </xf>
    <xf numFmtId="4" fontId="2" fillId="7" borderId="30" xfId="48" applyNumberFormat="1" applyFont="1" applyFill="1" applyBorder="1" applyAlignment="1" applyProtection="1">
      <alignment horizontal="right"/>
      <protection locked="0"/>
    </xf>
    <xf numFmtId="2" fontId="4" fillId="0" borderId="30" xfId="48" applyNumberFormat="1" applyFont="1" applyFill="1" applyBorder="1" applyProtection="1">
      <alignment/>
      <protection locked="0"/>
    </xf>
    <xf numFmtId="4" fontId="2" fillId="0" borderId="54" xfId="48" applyNumberFormat="1" applyFont="1" applyFill="1" applyBorder="1" applyAlignment="1" applyProtection="1">
      <alignment horizontal="right"/>
      <protection locked="0"/>
    </xf>
    <xf numFmtId="4" fontId="4" fillId="0" borderId="39" xfId="48" applyNumberFormat="1" applyFont="1" applyFill="1" applyBorder="1" applyAlignment="1" applyProtection="1">
      <alignment horizontal="right"/>
      <protection locked="0"/>
    </xf>
    <xf numFmtId="4" fontId="4" fillId="0" borderId="13" xfId="48" applyNumberFormat="1" applyFont="1" applyFill="1" applyBorder="1" applyAlignment="1" applyProtection="1">
      <alignment horizontal="center"/>
      <protection locked="0"/>
    </xf>
    <xf numFmtId="4" fontId="4" fillId="0" borderId="55" xfId="48" applyNumberFormat="1" applyFont="1" applyFill="1" applyBorder="1" applyAlignment="1" applyProtection="1">
      <alignment horizontal="right"/>
      <protection locked="0"/>
    </xf>
    <xf numFmtId="2" fontId="2" fillId="0" borderId="53" xfId="48" applyNumberFormat="1" applyFont="1" applyFill="1" applyBorder="1" applyProtection="1">
      <alignment/>
      <protection locked="0"/>
    </xf>
    <xf numFmtId="2" fontId="2" fillId="0" borderId="30" xfId="48" applyNumberFormat="1" applyFont="1" applyFill="1" applyBorder="1" applyProtection="1">
      <alignment/>
      <protection locked="0"/>
    </xf>
    <xf numFmtId="2" fontId="0" fillId="0" borderId="30" xfId="0" applyNumberFormat="1" applyFill="1" applyBorder="1" applyAlignment="1">
      <alignment/>
    </xf>
    <xf numFmtId="2" fontId="2" fillId="0" borderId="51" xfId="48" applyNumberFormat="1" applyFont="1" applyFill="1" applyBorder="1" applyProtection="1">
      <alignment/>
      <protection locked="0"/>
    </xf>
    <xf numFmtId="2" fontId="4" fillId="0" borderId="39" xfId="48" applyNumberFormat="1" applyFont="1" applyFill="1" applyBorder="1" applyProtection="1">
      <alignment/>
      <protection locked="0"/>
    </xf>
    <xf numFmtId="4" fontId="2" fillId="0" borderId="52" xfId="48" applyNumberFormat="1" applyFont="1" applyFill="1" applyBorder="1" applyProtection="1">
      <alignment/>
      <protection locked="0"/>
    </xf>
    <xf numFmtId="4" fontId="2" fillId="0" borderId="49" xfId="48" applyNumberFormat="1" applyFont="1" applyFill="1" applyBorder="1" applyProtection="1">
      <alignment/>
      <protection locked="0"/>
    </xf>
    <xf numFmtId="4" fontId="2" fillId="0" borderId="52" xfId="48" applyNumberFormat="1" applyFont="1" applyFill="1" applyBorder="1" applyAlignment="1" applyProtection="1">
      <alignment horizontal="right"/>
      <protection locked="0"/>
    </xf>
    <xf numFmtId="3" fontId="2" fillId="0" borderId="0" xfId="48" applyNumberFormat="1" applyFont="1" applyFill="1" applyBorder="1" applyAlignment="1">
      <alignment horizontal="center"/>
      <protection/>
    </xf>
    <xf numFmtId="3" fontId="2" fillId="0" borderId="49" xfId="48" applyNumberFormat="1" applyFont="1" applyFill="1" applyBorder="1" applyAlignment="1">
      <alignment horizontal="center"/>
      <protection/>
    </xf>
    <xf numFmtId="3" fontId="4" fillId="0" borderId="12" xfId="48" applyNumberFormat="1" applyFont="1" applyFill="1" applyBorder="1" applyAlignment="1">
      <alignment horizontal="left"/>
      <protection/>
    </xf>
    <xf numFmtId="3" fontId="4" fillId="0" borderId="0" xfId="48" applyNumberFormat="1" applyFont="1" applyFill="1" applyBorder="1" applyAlignment="1">
      <alignment horizontal="left"/>
      <protection/>
    </xf>
    <xf numFmtId="4" fontId="2" fillId="0" borderId="0" xfId="48" applyNumberFormat="1" applyFont="1" applyFill="1" applyBorder="1" applyAlignment="1" applyProtection="1">
      <alignment horizontal="right"/>
      <protection locked="0"/>
    </xf>
    <xf numFmtId="4" fontId="4" fillId="0" borderId="0" xfId="48" applyNumberFormat="1" applyFont="1" applyFill="1" applyBorder="1" applyAlignment="1" applyProtection="1">
      <alignment horizontal="right"/>
      <protection locked="0"/>
    </xf>
    <xf numFmtId="3" fontId="4" fillId="0" borderId="56" xfId="48" applyNumberFormat="1" applyFont="1" applyFill="1" applyBorder="1" applyAlignment="1" applyProtection="1">
      <alignment horizontal="center"/>
      <protection locked="0"/>
    </xf>
    <xf numFmtId="3" fontId="4" fillId="0" borderId="57" xfId="48" applyNumberFormat="1" applyFont="1" applyFill="1" applyBorder="1" applyAlignment="1" applyProtection="1">
      <alignment horizontal="center"/>
      <protection locked="0"/>
    </xf>
    <xf numFmtId="4" fontId="2" fillId="0" borderId="0" xfId="48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right"/>
    </xf>
    <xf numFmtId="3" fontId="3" fillId="0" borderId="24" xfId="48" applyNumberFormat="1" applyFont="1" applyFill="1" applyBorder="1" applyAlignment="1" applyProtection="1">
      <alignment horizontal="center"/>
      <protection locked="0"/>
    </xf>
    <xf numFmtId="3" fontId="3" fillId="0" borderId="25" xfId="48" applyNumberFormat="1" applyFont="1" applyFill="1" applyBorder="1" applyAlignment="1" applyProtection="1">
      <alignment horizontal="center"/>
      <protection locked="0"/>
    </xf>
    <xf numFmtId="3" fontId="3" fillId="0" borderId="50" xfId="48" applyNumberFormat="1" applyFont="1" applyFill="1" applyBorder="1" applyAlignment="1" applyProtection="1">
      <alignment horizontal="center"/>
      <protection locked="0"/>
    </xf>
    <xf numFmtId="3" fontId="2" fillId="0" borderId="12" xfId="48" applyNumberFormat="1" applyFont="1" applyFill="1" applyBorder="1" applyAlignment="1">
      <alignment horizontal="center"/>
      <protection/>
    </xf>
    <xf numFmtId="3" fontId="2" fillId="0" borderId="0" xfId="48" applyNumberFormat="1" applyFont="1" applyFill="1" applyBorder="1" applyAlignment="1">
      <alignment horizontal="center"/>
      <protection/>
    </xf>
    <xf numFmtId="3" fontId="2" fillId="0" borderId="49" xfId="48" applyNumberFormat="1" applyFont="1" applyFill="1" applyBorder="1" applyAlignment="1">
      <alignment horizontal="center"/>
      <protection/>
    </xf>
    <xf numFmtId="3" fontId="4" fillId="0" borderId="12" xfId="48" applyNumberFormat="1" applyFont="1" applyFill="1" applyBorder="1" applyAlignment="1">
      <alignment horizontal="left"/>
      <protection/>
    </xf>
    <xf numFmtId="3" fontId="4" fillId="0" borderId="0" xfId="48" applyNumberFormat="1" applyFont="1" applyFill="1" applyBorder="1" applyAlignment="1">
      <alignment horizontal="left"/>
      <protection/>
    </xf>
    <xf numFmtId="3" fontId="4" fillId="0" borderId="58" xfId="48" applyNumberFormat="1" applyFont="1" applyFill="1" applyBorder="1" applyAlignment="1" applyProtection="1">
      <alignment horizontal="center"/>
      <protection locked="0"/>
    </xf>
    <xf numFmtId="0" fontId="0" fillId="0" borderId="57" xfId="0" applyFill="1" applyBorder="1" applyAlignment="1">
      <alignment/>
    </xf>
    <xf numFmtId="3" fontId="4" fillId="0" borderId="58" xfId="48" applyNumberFormat="1" applyFont="1" applyFill="1" applyBorder="1" applyAlignment="1" applyProtection="1">
      <alignment horizontal="center" vertical="center"/>
      <protection locked="0"/>
    </xf>
    <xf numFmtId="3" fontId="4" fillId="0" borderId="57" xfId="48" applyNumberFormat="1" applyFont="1" applyFill="1" applyBorder="1" applyAlignment="1" applyProtection="1">
      <alignment horizontal="center" vertical="center"/>
      <protection locked="0"/>
    </xf>
    <xf numFmtId="3" fontId="4" fillId="0" borderId="59" xfId="48" applyNumberFormat="1" applyFont="1" applyFill="1" applyBorder="1" applyAlignment="1" applyProtection="1">
      <alignment horizontal="center" vertical="center"/>
      <protection locked="0"/>
    </xf>
    <xf numFmtId="3" fontId="4" fillId="0" borderId="58" xfId="48" applyNumberFormat="1" applyFont="1" applyFill="1" applyBorder="1" applyAlignment="1" applyProtection="1">
      <alignment horizontal="center"/>
      <protection locked="0"/>
    </xf>
    <xf numFmtId="3" fontId="4" fillId="0" borderId="57" xfId="48" applyNumberFormat="1" applyFont="1" applyFill="1" applyBorder="1" applyAlignment="1" applyProtection="1">
      <alignment horizontal="center"/>
      <protection locked="0"/>
    </xf>
    <xf numFmtId="3" fontId="4" fillId="0" borderId="59" xfId="48" applyNumberFormat="1" applyFont="1" applyFill="1" applyBorder="1" applyAlignment="1" applyProtection="1">
      <alignment horizontal="center"/>
      <protection locked="0"/>
    </xf>
    <xf numFmtId="4" fontId="0" fillId="0" borderId="0" xfId="48" applyNumberFormat="1" applyFont="1" applyFill="1" applyBorder="1" applyAlignment="1" applyProtection="1">
      <alignment horizontal="right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10-2005" xfId="46"/>
    <cellStyle name="normální_Rozpočet r. 2004" xfId="47"/>
    <cellStyle name="normální_Rozpočet r. 2004-RM - návrh!!!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9"/>
  <sheetViews>
    <sheetView tabSelected="1" zoomScale="80" zoomScaleNormal="80" zoomScalePageLayoutView="0" workbookViewId="0" topLeftCell="A1020">
      <selection activeCell="M1049" sqref="M1049"/>
    </sheetView>
  </sheetViews>
  <sheetFormatPr defaultColWidth="9.140625" defaultRowHeight="15"/>
  <cols>
    <col min="1" max="1" width="72.7109375" style="0" customWidth="1"/>
    <col min="2" max="2" width="11.7109375" style="0" customWidth="1"/>
    <col min="3" max="3" width="13.28125" style="0" customWidth="1"/>
    <col min="4" max="4" width="14.7109375" style="0" customWidth="1"/>
    <col min="5" max="5" width="8.421875" style="0" customWidth="1"/>
    <col min="6" max="6" width="6.421875" style="0" customWidth="1"/>
    <col min="7" max="7" width="64.8515625" style="0" customWidth="1"/>
    <col min="8" max="8" width="12.28125" style="0" customWidth="1"/>
    <col min="9" max="9" width="16.8515625" style="0" customWidth="1"/>
    <col min="10" max="10" width="15.28125" style="0" customWidth="1"/>
    <col min="11" max="11" width="9.57421875" style="0" customWidth="1"/>
    <col min="12" max="12" width="13.28125" style="0" customWidth="1"/>
  </cols>
  <sheetData>
    <row r="1" spans="1:11" ht="18">
      <c r="A1" s="375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7"/>
    </row>
    <row r="2" spans="1:11" ht="15">
      <c r="A2" s="378" t="s">
        <v>1</v>
      </c>
      <c r="B2" s="379"/>
      <c r="C2" s="379"/>
      <c r="D2" s="379"/>
      <c r="E2" s="379"/>
      <c r="F2" s="379"/>
      <c r="G2" s="379"/>
      <c r="H2" s="379"/>
      <c r="I2" s="379"/>
      <c r="J2" s="379"/>
      <c r="K2" s="380"/>
    </row>
    <row r="3" spans="1:11" ht="15">
      <c r="A3" s="325" t="s">
        <v>2</v>
      </c>
      <c r="B3" s="324"/>
      <c r="C3" s="324"/>
      <c r="D3" s="324"/>
      <c r="E3" s="324"/>
      <c r="F3" s="324"/>
      <c r="G3" s="368" t="s">
        <v>7</v>
      </c>
      <c r="H3" s="1"/>
      <c r="I3" s="324"/>
      <c r="J3" s="324"/>
      <c r="K3" s="328"/>
    </row>
    <row r="4" spans="1:11" ht="15">
      <c r="A4" s="325" t="s">
        <v>4</v>
      </c>
      <c r="B4" s="324"/>
      <c r="C4" s="324"/>
      <c r="D4" s="324"/>
      <c r="E4" s="324"/>
      <c r="F4" s="324"/>
      <c r="G4" s="368" t="s">
        <v>9</v>
      </c>
      <c r="H4" s="1"/>
      <c r="I4" s="324"/>
      <c r="J4" s="324"/>
      <c r="K4" s="328"/>
    </row>
    <row r="5" spans="1:11" ht="15">
      <c r="A5" s="325" t="s">
        <v>6</v>
      </c>
      <c r="B5" s="324"/>
      <c r="C5" s="324"/>
      <c r="D5" s="324"/>
      <c r="E5" s="324"/>
      <c r="F5" s="324"/>
      <c r="G5" s="368" t="s">
        <v>11</v>
      </c>
      <c r="H5" s="1"/>
      <c r="I5" s="324"/>
      <c r="J5" s="324"/>
      <c r="K5" s="328"/>
    </row>
    <row r="6" spans="1:11" ht="15">
      <c r="A6" s="325" t="s">
        <v>8</v>
      </c>
      <c r="B6" s="324"/>
      <c r="C6" s="324"/>
      <c r="D6" s="324"/>
      <c r="E6" s="324"/>
      <c r="F6" s="324"/>
      <c r="G6" s="368" t="s">
        <v>13</v>
      </c>
      <c r="H6" s="1"/>
      <c r="I6" s="324"/>
      <c r="J6" s="324"/>
      <c r="K6" s="328"/>
    </row>
    <row r="7" spans="1:11" ht="15">
      <c r="A7" s="325" t="s">
        <v>10</v>
      </c>
      <c r="B7" s="324"/>
      <c r="C7" s="324"/>
      <c r="D7" s="324"/>
      <c r="E7" s="324"/>
      <c r="F7" s="324"/>
      <c r="G7" s="368" t="s">
        <v>15</v>
      </c>
      <c r="H7" s="1"/>
      <c r="I7" s="324"/>
      <c r="J7" s="324"/>
      <c r="K7" s="328"/>
    </row>
    <row r="8" spans="1:11" ht="15">
      <c r="A8" s="381" t="s">
        <v>12</v>
      </c>
      <c r="B8" s="382"/>
      <c r="C8" s="324"/>
      <c r="D8" s="324"/>
      <c r="E8" s="324"/>
      <c r="F8" s="324"/>
      <c r="G8" s="368" t="s">
        <v>17</v>
      </c>
      <c r="H8" s="1"/>
      <c r="I8" s="324"/>
      <c r="J8" s="324"/>
      <c r="K8" s="328"/>
    </row>
    <row r="9" spans="1:11" ht="15">
      <c r="A9" s="325" t="s">
        <v>14</v>
      </c>
      <c r="B9" s="326"/>
      <c r="C9" s="324"/>
      <c r="D9" s="324"/>
      <c r="E9" s="324"/>
      <c r="F9" s="324"/>
      <c r="G9" s="368" t="s">
        <v>19</v>
      </c>
      <c r="H9" s="1"/>
      <c r="I9" s="324"/>
      <c r="J9" s="324"/>
      <c r="K9" s="328"/>
    </row>
    <row r="10" spans="1:11" ht="15">
      <c r="A10" s="325" t="s">
        <v>16</v>
      </c>
      <c r="B10" s="326"/>
      <c r="C10" s="324"/>
      <c r="D10" s="324"/>
      <c r="E10" s="324"/>
      <c r="F10" s="324"/>
      <c r="G10" s="368" t="s">
        <v>1111</v>
      </c>
      <c r="H10" s="1"/>
      <c r="I10" s="324"/>
      <c r="J10" s="324"/>
      <c r="K10" s="328"/>
    </row>
    <row r="11" spans="1:11" ht="15">
      <c r="A11" s="367" t="s">
        <v>18</v>
      </c>
      <c r="B11" s="368"/>
      <c r="C11" s="365"/>
      <c r="D11" s="365"/>
      <c r="E11" s="365"/>
      <c r="F11" s="365"/>
      <c r="G11" s="368" t="s">
        <v>1112</v>
      </c>
      <c r="H11" s="1"/>
      <c r="I11" s="365"/>
      <c r="J11" s="365"/>
      <c r="K11" s="366"/>
    </row>
    <row r="12" spans="1:11" ht="15">
      <c r="A12" s="368" t="s">
        <v>3</v>
      </c>
      <c r="B12" s="368"/>
      <c r="C12" s="365"/>
      <c r="D12" s="365"/>
      <c r="E12" s="365"/>
      <c r="F12" s="365"/>
      <c r="G12" s="368" t="s">
        <v>1113</v>
      </c>
      <c r="H12" s="1"/>
      <c r="I12" s="365"/>
      <c r="J12" s="365"/>
      <c r="K12" s="366"/>
    </row>
    <row r="13" spans="1:11" ht="15.75" thickBot="1">
      <c r="A13" s="368" t="s">
        <v>5</v>
      </c>
      <c r="B13" s="326"/>
      <c r="C13" s="324"/>
      <c r="D13" s="324"/>
      <c r="E13" s="324"/>
      <c r="F13" s="324"/>
      <c r="G13" s="326"/>
      <c r="H13" s="1"/>
      <c r="I13" s="324"/>
      <c r="J13" s="324"/>
      <c r="K13" s="328"/>
    </row>
    <row r="14" spans="1:11" ht="15">
      <c r="A14" s="2" t="s">
        <v>20</v>
      </c>
      <c r="B14" s="383" t="s">
        <v>21</v>
      </c>
      <c r="C14" s="384"/>
      <c r="D14" s="384"/>
      <c r="E14" s="384"/>
      <c r="F14" s="3"/>
      <c r="G14" s="4"/>
      <c r="H14" s="385" t="s">
        <v>21</v>
      </c>
      <c r="I14" s="386"/>
      <c r="J14" s="386"/>
      <c r="K14" s="387"/>
    </row>
    <row r="15" spans="1:11" ht="15.75" thickBot="1">
      <c r="A15" s="5" t="s">
        <v>22</v>
      </c>
      <c r="B15" s="6" t="s">
        <v>23</v>
      </c>
      <c r="C15" s="7" t="s">
        <v>24</v>
      </c>
      <c r="D15" s="8" t="s">
        <v>1072</v>
      </c>
      <c r="E15" s="9" t="s">
        <v>25</v>
      </c>
      <c r="F15" s="10" t="s">
        <v>26</v>
      </c>
      <c r="G15" s="11" t="s">
        <v>27</v>
      </c>
      <c r="H15" s="12" t="s">
        <v>28</v>
      </c>
      <c r="I15" s="13" t="s">
        <v>24</v>
      </c>
      <c r="J15" s="8" t="s">
        <v>1072</v>
      </c>
      <c r="K15" s="329" t="s">
        <v>25</v>
      </c>
    </row>
    <row r="16" spans="1:11" ht="15">
      <c r="A16" s="14" t="s">
        <v>29</v>
      </c>
      <c r="B16" s="15">
        <f>10934000+1355000</f>
        <v>12289000</v>
      </c>
      <c r="C16" s="15">
        <f>10934000+1355000</f>
        <v>12289000</v>
      </c>
      <c r="D16" s="16">
        <v>11943891.44</v>
      </c>
      <c r="E16" s="17">
        <f aca="true" t="shared" si="0" ref="E16:E44">D16/C16*100</f>
        <v>97.19172788672796</v>
      </c>
      <c r="F16" s="18">
        <v>1</v>
      </c>
      <c r="G16" s="19"/>
      <c r="H16" s="20"/>
      <c r="I16" s="20"/>
      <c r="J16" s="21"/>
      <c r="K16" s="330"/>
    </row>
    <row r="17" spans="1:11" ht="15">
      <c r="A17" s="22" t="s">
        <v>30</v>
      </c>
      <c r="B17" s="23">
        <f>312000+660000</f>
        <v>972000</v>
      </c>
      <c r="C17" s="23">
        <f>312000+660000</f>
        <v>972000</v>
      </c>
      <c r="D17" s="24">
        <v>865411.74</v>
      </c>
      <c r="E17" s="25">
        <f t="shared" si="0"/>
        <v>89.03412962962963</v>
      </c>
      <c r="F17" s="26">
        <f aca="true" t="shared" si="1" ref="F17:F83">F16+1</f>
        <v>2</v>
      </c>
      <c r="G17" s="27"/>
      <c r="H17" s="28"/>
      <c r="I17" s="28"/>
      <c r="J17" s="29"/>
      <c r="K17" s="331"/>
    </row>
    <row r="18" spans="1:11" ht="15">
      <c r="A18" s="22" t="s">
        <v>31</v>
      </c>
      <c r="B18" s="23">
        <v>1111000</v>
      </c>
      <c r="C18" s="23">
        <v>1291000</v>
      </c>
      <c r="D18" s="24">
        <v>1250413.23</v>
      </c>
      <c r="E18" s="25">
        <f t="shared" si="0"/>
        <v>96.85617583268784</v>
      </c>
      <c r="F18" s="26">
        <f>F17+1</f>
        <v>3</v>
      </c>
      <c r="G18" s="27"/>
      <c r="H18" s="28"/>
      <c r="I18" s="28"/>
      <c r="J18" s="30"/>
      <c r="K18" s="331"/>
    </row>
    <row r="19" spans="1:11" ht="15">
      <c r="A19" s="22" t="s">
        <v>32</v>
      </c>
      <c r="B19" s="23">
        <v>10795000</v>
      </c>
      <c r="C19" s="23">
        <v>11865000</v>
      </c>
      <c r="D19" s="24">
        <v>12101111.16</v>
      </c>
      <c r="E19" s="25">
        <f t="shared" si="0"/>
        <v>101.98998027812895</v>
      </c>
      <c r="F19" s="26">
        <f t="shared" si="1"/>
        <v>4</v>
      </c>
      <c r="G19" s="27"/>
      <c r="H19" s="28"/>
      <c r="I19" s="28"/>
      <c r="J19" s="28"/>
      <c r="K19" s="331"/>
    </row>
    <row r="20" spans="1:11" ht="15">
      <c r="A20" s="22" t="s">
        <v>33</v>
      </c>
      <c r="B20" s="23">
        <v>4400000</v>
      </c>
      <c r="C20" s="23">
        <f>4400000+0+0+0+0+0+0+0+0+0+0-334700</f>
        <v>4065300</v>
      </c>
      <c r="D20" s="24">
        <v>4065240</v>
      </c>
      <c r="E20" s="25">
        <f t="shared" si="0"/>
        <v>99.99852409416279</v>
      </c>
      <c r="F20" s="26">
        <f t="shared" si="1"/>
        <v>5</v>
      </c>
      <c r="G20" s="27"/>
      <c r="H20" s="28"/>
      <c r="I20" s="28"/>
      <c r="J20" s="28"/>
      <c r="K20" s="331"/>
    </row>
    <row r="21" spans="1:11" ht="15">
      <c r="A21" s="22" t="s">
        <v>34</v>
      </c>
      <c r="B21" s="23">
        <v>23256000</v>
      </c>
      <c r="C21" s="23">
        <v>23256000</v>
      </c>
      <c r="D21" s="24">
        <v>22821306.5</v>
      </c>
      <c r="E21" s="25">
        <f t="shared" si="0"/>
        <v>98.13083290333677</v>
      </c>
      <c r="F21" s="26">
        <f t="shared" si="1"/>
        <v>6</v>
      </c>
      <c r="G21" s="27"/>
      <c r="H21" s="28"/>
      <c r="I21" s="28"/>
      <c r="J21" s="28"/>
      <c r="K21" s="331"/>
    </row>
    <row r="22" spans="1:11" ht="15">
      <c r="A22" s="22" t="s">
        <v>35</v>
      </c>
      <c r="B22" s="31">
        <v>4000</v>
      </c>
      <c r="C22" s="31">
        <v>4000</v>
      </c>
      <c r="D22" s="24">
        <v>0</v>
      </c>
      <c r="E22" s="25">
        <f t="shared" si="0"/>
        <v>0</v>
      </c>
      <c r="F22" s="26">
        <f t="shared" si="1"/>
        <v>7</v>
      </c>
      <c r="G22" s="27"/>
      <c r="H22" s="28"/>
      <c r="I22" s="28"/>
      <c r="J22" s="28"/>
      <c r="K22" s="331"/>
    </row>
    <row r="23" spans="1:11" ht="15">
      <c r="A23" s="22" t="s">
        <v>36</v>
      </c>
      <c r="B23" s="31">
        <v>60000</v>
      </c>
      <c r="C23" s="31">
        <v>60000</v>
      </c>
      <c r="D23" s="24">
        <v>42285</v>
      </c>
      <c r="E23" s="25">
        <f t="shared" si="0"/>
        <v>70.475</v>
      </c>
      <c r="F23" s="26">
        <f t="shared" si="1"/>
        <v>8</v>
      </c>
      <c r="G23" s="27"/>
      <c r="H23" s="28"/>
      <c r="I23" s="28"/>
      <c r="J23" s="28"/>
      <c r="K23" s="331"/>
    </row>
    <row r="24" spans="1:11" ht="15">
      <c r="A24" s="22" t="s">
        <v>37</v>
      </c>
      <c r="B24" s="31">
        <v>20000</v>
      </c>
      <c r="C24" s="31">
        <v>20000</v>
      </c>
      <c r="D24" s="24">
        <v>9596</v>
      </c>
      <c r="E24" s="25">
        <f t="shared" si="0"/>
        <v>47.980000000000004</v>
      </c>
      <c r="F24" s="26">
        <f t="shared" si="1"/>
        <v>9</v>
      </c>
      <c r="G24" s="27"/>
      <c r="H24" s="28"/>
      <c r="I24" s="28"/>
      <c r="J24" s="28"/>
      <c r="K24" s="331"/>
    </row>
    <row r="25" spans="1:11" ht="15">
      <c r="A25" s="22" t="s">
        <v>38</v>
      </c>
      <c r="B25" s="31">
        <v>2200000</v>
      </c>
      <c r="C25" s="31">
        <v>2200000</v>
      </c>
      <c r="D25" s="24">
        <v>2153964.3</v>
      </c>
      <c r="E25" s="25">
        <f t="shared" si="0"/>
        <v>97.90746818181817</v>
      </c>
      <c r="F25" s="26">
        <f t="shared" si="1"/>
        <v>10</v>
      </c>
      <c r="G25" s="27"/>
      <c r="H25" s="28"/>
      <c r="I25" s="28"/>
      <c r="J25" s="28"/>
      <c r="K25" s="331"/>
    </row>
    <row r="26" spans="1:11" ht="15">
      <c r="A26" s="22" t="s">
        <v>39</v>
      </c>
      <c r="B26" s="31">
        <v>90000</v>
      </c>
      <c r="C26" s="31">
        <v>90000</v>
      </c>
      <c r="D26" s="24">
        <v>76776</v>
      </c>
      <c r="E26" s="25">
        <f t="shared" si="0"/>
        <v>85.30666666666666</v>
      </c>
      <c r="F26" s="26">
        <f t="shared" si="1"/>
        <v>11</v>
      </c>
      <c r="G26" s="27"/>
      <c r="H26" s="28"/>
      <c r="I26" s="28"/>
      <c r="J26" s="28"/>
      <c r="K26" s="331"/>
    </row>
    <row r="27" spans="1:11" ht="15">
      <c r="A27" s="32" t="s">
        <v>40</v>
      </c>
      <c r="B27" s="31">
        <v>80000</v>
      </c>
      <c r="C27" s="31">
        <v>105000</v>
      </c>
      <c r="D27" s="24">
        <v>103562</v>
      </c>
      <c r="E27" s="25">
        <f t="shared" si="0"/>
        <v>98.63047619047619</v>
      </c>
      <c r="F27" s="26">
        <f t="shared" si="1"/>
        <v>12</v>
      </c>
      <c r="G27" s="27"/>
      <c r="H27" s="28"/>
      <c r="I27" s="28"/>
      <c r="J27" s="28"/>
      <c r="K27" s="331"/>
    </row>
    <row r="28" spans="1:11" ht="15">
      <c r="A28" s="22" t="s">
        <v>41</v>
      </c>
      <c r="B28" s="31">
        <v>5000</v>
      </c>
      <c r="C28" s="31">
        <v>5000</v>
      </c>
      <c r="D28" s="24">
        <v>2500</v>
      </c>
      <c r="E28" s="25">
        <f t="shared" si="0"/>
        <v>50</v>
      </c>
      <c r="F28" s="26">
        <f t="shared" si="1"/>
        <v>13</v>
      </c>
      <c r="G28" s="27"/>
      <c r="H28" s="28"/>
      <c r="I28" s="28"/>
      <c r="J28" s="28"/>
      <c r="K28" s="331"/>
    </row>
    <row r="29" spans="1:11" ht="15">
      <c r="A29" s="22" t="s">
        <v>42</v>
      </c>
      <c r="B29" s="31">
        <v>50000</v>
      </c>
      <c r="C29" s="31">
        <v>55000</v>
      </c>
      <c r="D29" s="24">
        <v>54272</v>
      </c>
      <c r="E29" s="25">
        <f t="shared" si="0"/>
        <v>98.67636363636365</v>
      </c>
      <c r="F29" s="26">
        <f t="shared" si="1"/>
        <v>14</v>
      </c>
      <c r="G29" s="27"/>
      <c r="H29" s="28"/>
      <c r="I29" s="28"/>
      <c r="J29" s="28"/>
      <c r="K29" s="331"/>
    </row>
    <row r="30" spans="1:11" ht="15">
      <c r="A30" s="22" t="s">
        <v>43</v>
      </c>
      <c r="B30" s="31">
        <v>190000</v>
      </c>
      <c r="C30" s="31">
        <v>210000</v>
      </c>
      <c r="D30" s="24">
        <v>204589.48</v>
      </c>
      <c r="E30" s="25">
        <f t="shared" si="0"/>
        <v>97.42356190476191</v>
      </c>
      <c r="F30" s="26">
        <f t="shared" si="1"/>
        <v>15</v>
      </c>
      <c r="G30" s="27"/>
      <c r="H30" s="28"/>
      <c r="I30" s="28"/>
      <c r="J30" s="28"/>
      <c r="K30" s="331"/>
    </row>
    <row r="31" spans="1:11" ht="15">
      <c r="A31" s="32" t="s">
        <v>44</v>
      </c>
      <c r="B31" s="31">
        <v>80000</v>
      </c>
      <c r="C31" s="31">
        <f>80000-10000</f>
        <v>70000</v>
      </c>
      <c r="D31" s="24">
        <v>65300</v>
      </c>
      <c r="E31" s="25">
        <f t="shared" si="0"/>
        <v>93.28571428571428</v>
      </c>
      <c r="F31" s="26">
        <f t="shared" si="1"/>
        <v>16</v>
      </c>
      <c r="G31" s="33"/>
      <c r="H31" s="28"/>
      <c r="I31" s="28"/>
      <c r="J31" s="28"/>
      <c r="K31" s="332"/>
    </row>
    <row r="32" spans="1:11" ht="15">
      <c r="A32" s="22" t="s">
        <v>45</v>
      </c>
      <c r="B32" s="31">
        <v>4900000</v>
      </c>
      <c r="C32" s="31">
        <v>5453000</v>
      </c>
      <c r="D32" s="24">
        <v>5393846.8</v>
      </c>
      <c r="E32" s="25">
        <f t="shared" si="0"/>
        <v>98.91521731157161</v>
      </c>
      <c r="F32" s="26">
        <f t="shared" si="1"/>
        <v>17</v>
      </c>
      <c r="G32" s="35"/>
      <c r="H32" s="28"/>
      <c r="I32" s="28"/>
      <c r="J32" s="28"/>
      <c r="K32" s="332"/>
    </row>
    <row r="33" spans="1:11" ht="15">
      <c r="A33" s="22" t="s">
        <v>46</v>
      </c>
      <c r="B33" s="31">
        <v>0</v>
      </c>
      <c r="C33" s="31">
        <v>0</v>
      </c>
      <c r="D33" s="24">
        <v>3000</v>
      </c>
      <c r="E33" s="25" t="e">
        <f t="shared" si="0"/>
        <v>#DIV/0!</v>
      </c>
      <c r="F33" s="26">
        <f t="shared" si="1"/>
        <v>18</v>
      </c>
      <c r="G33" s="36"/>
      <c r="H33" s="28"/>
      <c r="I33" s="28"/>
      <c r="J33" s="28"/>
      <c r="K33" s="332"/>
    </row>
    <row r="34" spans="1:11" ht="15">
      <c r="A34" s="22" t="s">
        <v>47</v>
      </c>
      <c r="B34" s="31">
        <v>5200000</v>
      </c>
      <c r="C34" s="31">
        <v>5200000</v>
      </c>
      <c r="D34" s="24">
        <v>4967443</v>
      </c>
      <c r="E34" s="25">
        <f t="shared" si="0"/>
        <v>95.52775</v>
      </c>
      <c r="F34" s="26">
        <f t="shared" si="1"/>
        <v>19</v>
      </c>
      <c r="G34" s="36"/>
      <c r="H34" s="28"/>
      <c r="I34" s="28"/>
      <c r="J34" s="28"/>
      <c r="K34" s="332"/>
    </row>
    <row r="35" spans="1:11" ht="15">
      <c r="A35" s="22" t="s">
        <v>48</v>
      </c>
      <c r="B35" s="23">
        <v>7200000</v>
      </c>
      <c r="C35" s="23">
        <v>8200000</v>
      </c>
      <c r="D35" s="24">
        <v>8023214.59</v>
      </c>
      <c r="E35" s="25">
        <f t="shared" si="0"/>
        <v>97.84408036585366</v>
      </c>
      <c r="F35" s="26">
        <f t="shared" si="1"/>
        <v>20</v>
      </c>
      <c r="G35" s="36"/>
      <c r="H35" s="28"/>
      <c r="I35" s="28"/>
      <c r="J35" s="28"/>
      <c r="K35" s="332"/>
    </row>
    <row r="36" spans="1:11" ht="15">
      <c r="A36" s="37" t="s">
        <v>49</v>
      </c>
      <c r="B36" s="38">
        <v>180000</v>
      </c>
      <c r="C36" s="38">
        <v>189000</v>
      </c>
      <c r="D36" s="39">
        <v>190154</v>
      </c>
      <c r="E36" s="40">
        <f t="shared" si="0"/>
        <v>100.61058201058202</v>
      </c>
      <c r="F36" s="26">
        <f t="shared" si="1"/>
        <v>21</v>
      </c>
      <c r="G36" s="41"/>
      <c r="H36" s="42"/>
      <c r="I36" s="43"/>
      <c r="J36" s="44"/>
      <c r="K36" s="332"/>
    </row>
    <row r="37" spans="1:11" ht="15">
      <c r="A37" s="37" t="s">
        <v>50</v>
      </c>
      <c r="B37" s="38">
        <v>594000</v>
      </c>
      <c r="C37" s="38">
        <v>709000</v>
      </c>
      <c r="D37" s="40">
        <v>709229</v>
      </c>
      <c r="E37" s="40">
        <f t="shared" si="0"/>
        <v>100.03229901269393</v>
      </c>
      <c r="F37" s="26">
        <f t="shared" si="1"/>
        <v>22</v>
      </c>
      <c r="G37" s="45"/>
      <c r="H37" s="42"/>
      <c r="I37" s="43"/>
      <c r="J37" s="44"/>
      <c r="K37" s="332"/>
    </row>
    <row r="38" spans="1:11" ht="15">
      <c r="A38" s="22" t="s">
        <v>51</v>
      </c>
      <c r="B38" s="23">
        <v>11943200</v>
      </c>
      <c r="C38" s="23">
        <v>11943200</v>
      </c>
      <c r="D38" s="24">
        <v>11943200</v>
      </c>
      <c r="E38" s="25">
        <f t="shared" si="0"/>
        <v>100</v>
      </c>
      <c r="F38" s="26">
        <f t="shared" si="1"/>
        <v>23</v>
      </c>
      <c r="G38" s="41"/>
      <c r="H38" s="42"/>
      <c r="I38" s="43"/>
      <c r="J38" s="44"/>
      <c r="K38" s="332"/>
    </row>
    <row r="39" spans="1:11" ht="15">
      <c r="A39" s="32" t="s">
        <v>52</v>
      </c>
      <c r="B39" s="23">
        <v>0</v>
      </c>
      <c r="C39" s="23">
        <v>39800</v>
      </c>
      <c r="D39" s="24">
        <v>39687.11</v>
      </c>
      <c r="E39" s="25">
        <f t="shared" si="0"/>
        <v>99.71635678391961</v>
      </c>
      <c r="F39" s="26">
        <f t="shared" si="1"/>
        <v>24</v>
      </c>
      <c r="G39" s="41"/>
      <c r="H39" s="42"/>
      <c r="I39" s="43"/>
      <c r="J39" s="44"/>
      <c r="K39" s="332"/>
    </row>
    <row r="40" spans="1:11" ht="15">
      <c r="A40" s="32" t="s">
        <v>53</v>
      </c>
      <c r="B40" s="23">
        <v>4900</v>
      </c>
      <c r="C40" s="23">
        <f>4900+30300</f>
        <v>35200</v>
      </c>
      <c r="D40" s="24">
        <v>35183.85</v>
      </c>
      <c r="E40" s="25">
        <f t="shared" si="0"/>
        <v>99.95411931818181</v>
      </c>
      <c r="F40" s="26">
        <f t="shared" si="1"/>
        <v>25</v>
      </c>
      <c r="G40" s="36"/>
      <c r="H40" s="42"/>
      <c r="I40" s="43"/>
      <c r="J40" s="44"/>
      <c r="K40" s="332"/>
    </row>
    <row r="41" spans="1:11" ht="15">
      <c r="A41" s="32" t="s">
        <v>54</v>
      </c>
      <c r="B41" s="23">
        <v>0</v>
      </c>
      <c r="C41" s="23">
        <v>25400</v>
      </c>
      <c r="D41" s="24">
        <v>25390.01</v>
      </c>
      <c r="E41" s="25">
        <f t="shared" si="0"/>
        <v>99.96066929133858</v>
      </c>
      <c r="F41" s="26">
        <f t="shared" si="1"/>
        <v>26</v>
      </c>
      <c r="G41" s="45"/>
      <c r="H41" s="42"/>
      <c r="I41" s="43"/>
      <c r="J41" s="44"/>
      <c r="K41" s="332"/>
    </row>
    <row r="42" spans="1:11" ht="15">
      <c r="A42" s="32" t="s">
        <v>55</v>
      </c>
      <c r="B42" s="23">
        <v>0</v>
      </c>
      <c r="C42" s="23">
        <v>14200</v>
      </c>
      <c r="D42" s="24">
        <v>14197.81</v>
      </c>
      <c r="E42" s="25">
        <f t="shared" si="0"/>
        <v>99.98457746478873</v>
      </c>
      <c r="F42" s="26">
        <f t="shared" si="1"/>
        <v>27</v>
      </c>
      <c r="G42" s="36"/>
      <c r="H42" s="42"/>
      <c r="I42" s="43"/>
      <c r="J42" s="44"/>
      <c r="K42" s="332"/>
    </row>
    <row r="43" spans="1:11" ht="15">
      <c r="A43" s="32" t="s">
        <v>56</v>
      </c>
      <c r="B43" s="23">
        <v>0</v>
      </c>
      <c r="C43" s="23">
        <v>15800</v>
      </c>
      <c r="D43" s="24">
        <v>15764.28</v>
      </c>
      <c r="E43" s="25">
        <f t="shared" si="0"/>
        <v>99.77392405063291</v>
      </c>
      <c r="F43" s="26">
        <f t="shared" si="1"/>
        <v>28</v>
      </c>
      <c r="G43" s="36"/>
      <c r="H43" s="42"/>
      <c r="I43" s="43"/>
      <c r="J43" s="44"/>
      <c r="K43" s="332"/>
    </row>
    <row r="44" spans="1:11" ht="15">
      <c r="A44" s="46" t="s">
        <v>57</v>
      </c>
      <c r="B44" s="23">
        <v>9900</v>
      </c>
      <c r="C44" s="23">
        <f>9900+0+0+0+0+0-3300</f>
        <v>6600</v>
      </c>
      <c r="D44" s="24">
        <v>6558.2</v>
      </c>
      <c r="E44" s="25">
        <f t="shared" si="0"/>
        <v>99.36666666666666</v>
      </c>
      <c r="F44" s="26">
        <f t="shared" si="1"/>
        <v>29</v>
      </c>
      <c r="G44" s="45"/>
      <c r="H44" s="42"/>
      <c r="I44" s="43"/>
      <c r="J44" s="44"/>
      <c r="K44" s="332"/>
    </row>
    <row r="45" spans="1:11" ht="15">
      <c r="A45" s="47" t="s">
        <v>58</v>
      </c>
      <c r="B45" s="48"/>
      <c r="C45" s="48"/>
      <c r="D45" s="24"/>
      <c r="E45" s="25"/>
      <c r="F45" s="26">
        <f t="shared" si="1"/>
        <v>30</v>
      </c>
      <c r="G45" s="49"/>
      <c r="H45" s="42"/>
      <c r="I45" s="43"/>
      <c r="J45" s="44"/>
      <c r="K45" s="332"/>
    </row>
    <row r="46" spans="1:11" ht="15">
      <c r="A46" s="46" t="s">
        <v>59</v>
      </c>
      <c r="B46" s="23">
        <v>0</v>
      </c>
      <c r="C46" s="23">
        <f>0+0+0+0+1738700</f>
        <v>1738700</v>
      </c>
      <c r="D46" s="24">
        <v>1738657</v>
      </c>
      <c r="E46" s="25">
        <f aca="true" t="shared" si="2" ref="E46:E94">D46/C46*100</f>
        <v>99.99752688790475</v>
      </c>
      <c r="F46" s="26">
        <f t="shared" si="1"/>
        <v>31</v>
      </c>
      <c r="G46" s="49"/>
      <c r="H46" s="42"/>
      <c r="I46" s="43"/>
      <c r="J46" s="44"/>
      <c r="K46" s="332"/>
    </row>
    <row r="47" spans="1:11" ht="15">
      <c r="A47" s="46" t="s">
        <v>1075</v>
      </c>
      <c r="B47" s="23"/>
      <c r="C47" s="23">
        <v>24700</v>
      </c>
      <c r="D47" s="24">
        <v>24668</v>
      </c>
      <c r="E47" s="25"/>
      <c r="F47" s="26">
        <f t="shared" si="1"/>
        <v>32</v>
      </c>
      <c r="G47" s="49"/>
      <c r="H47" s="42"/>
      <c r="I47" s="43"/>
      <c r="J47" s="44"/>
      <c r="K47" s="332"/>
    </row>
    <row r="48" spans="1:11" ht="15">
      <c r="A48" s="46" t="s">
        <v>1076</v>
      </c>
      <c r="B48" s="23"/>
      <c r="C48" s="23">
        <v>115400</v>
      </c>
      <c r="D48" s="24">
        <v>115332</v>
      </c>
      <c r="E48" s="25"/>
      <c r="F48" s="26">
        <f t="shared" si="1"/>
        <v>33</v>
      </c>
      <c r="G48" s="49"/>
      <c r="H48" s="42"/>
      <c r="I48" s="43"/>
      <c r="J48" s="44"/>
      <c r="K48" s="332"/>
    </row>
    <row r="49" spans="1:11" ht="15">
      <c r="A49" s="46" t="s">
        <v>60</v>
      </c>
      <c r="B49" s="23">
        <v>0</v>
      </c>
      <c r="C49" s="23">
        <f>0+0+0+0+0+0+0+0+0+193000</f>
        <v>193000</v>
      </c>
      <c r="D49" s="24">
        <v>193000</v>
      </c>
      <c r="E49" s="25">
        <f t="shared" si="2"/>
        <v>100</v>
      </c>
      <c r="F49" s="26">
        <f t="shared" si="1"/>
        <v>34</v>
      </c>
      <c r="G49" s="49"/>
      <c r="H49" s="42"/>
      <c r="I49" s="43"/>
      <c r="J49" s="44"/>
      <c r="K49" s="332"/>
    </row>
    <row r="50" spans="1:11" ht="15">
      <c r="A50" s="46" t="s">
        <v>61</v>
      </c>
      <c r="B50" s="23">
        <f>418000+110000</f>
        <v>528000</v>
      </c>
      <c r="C50" s="23">
        <f>418000+110000+29900</f>
        <v>557900</v>
      </c>
      <c r="D50" s="24">
        <v>557865</v>
      </c>
      <c r="E50" s="25">
        <f t="shared" si="2"/>
        <v>99.99372647427855</v>
      </c>
      <c r="F50" s="26">
        <f t="shared" si="1"/>
        <v>35</v>
      </c>
      <c r="G50" s="49"/>
      <c r="H50" s="42"/>
      <c r="I50" s="43"/>
      <c r="J50" s="44"/>
      <c r="K50" s="332"/>
    </row>
    <row r="51" spans="1:11" ht="15">
      <c r="A51" s="47" t="s">
        <v>62</v>
      </c>
      <c r="B51" s="23">
        <v>0</v>
      </c>
      <c r="C51" s="23">
        <v>84700</v>
      </c>
      <c r="D51" s="24">
        <v>84645.31</v>
      </c>
      <c r="E51" s="25">
        <f t="shared" si="2"/>
        <v>99.93543093270367</v>
      </c>
      <c r="F51" s="26">
        <f t="shared" si="1"/>
        <v>36</v>
      </c>
      <c r="G51" s="49"/>
      <c r="H51" s="42"/>
      <c r="I51" s="43"/>
      <c r="J51" s="44"/>
      <c r="K51" s="332"/>
    </row>
    <row r="52" spans="1:11" ht="15">
      <c r="A52" s="47" t="s">
        <v>63</v>
      </c>
      <c r="B52" s="23">
        <v>0</v>
      </c>
      <c r="C52" s="23">
        <v>479700</v>
      </c>
      <c r="D52" s="24">
        <v>479656.65</v>
      </c>
      <c r="E52" s="25">
        <f t="shared" si="2"/>
        <v>99.99096310193872</v>
      </c>
      <c r="F52" s="26">
        <f t="shared" si="1"/>
        <v>37</v>
      </c>
      <c r="G52" s="49"/>
      <c r="H52" s="42"/>
      <c r="I52" s="43"/>
      <c r="J52" s="44"/>
      <c r="K52" s="332"/>
    </row>
    <row r="53" spans="1:11" ht="15">
      <c r="A53" s="46" t="s">
        <v>64</v>
      </c>
      <c r="B53" s="23">
        <v>9000</v>
      </c>
      <c r="C53" s="23">
        <f>9000+0+242800+0+66100-24700</f>
        <v>293200</v>
      </c>
      <c r="D53" s="24">
        <v>289661.4</v>
      </c>
      <c r="E53" s="25">
        <f t="shared" si="2"/>
        <v>98.7931105047749</v>
      </c>
      <c r="F53" s="26">
        <f t="shared" si="1"/>
        <v>38</v>
      </c>
      <c r="G53" s="49"/>
      <c r="H53" s="42"/>
      <c r="I53" s="43"/>
      <c r="J53" s="44"/>
      <c r="K53" s="332"/>
    </row>
    <row r="54" spans="1:11" ht="15">
      <c r="A54" s="46" t="s">
        <v>65</v>
      </c>
      <c r="B54" s="23">
        <v>51000</v>
      </c>
      <c r="C54" s="23">
        <f>51000+0+1375600+0+374900-115400</f>
        <v>1686100</v>
      </c>
      <c r="D54" s="24">
        <v>1641414.6</v>
      </c>
      <c r="E54" s="25">
        <f t="shared" si="2"/>
        <v>97.34977759326256</v>
      </c>
      <c r="F54" s="26">
        <f t="shared" si="1"/>
        <v>39</v>
      </c>
      <c r="G54" s="56"/>
      <c r="H54" s="51"/>
      <c r="I54" s="52"/>
      <c r="J54" s="53"/>
      <c r="K54" s="333"/>
    </row>
    <row r="55" spans="1:11" ht="15">
      <c r="A55" s="47" t="s">
        <v>66</v>
      </c>
      <c r="B55" s="23">
        <v>167300</v>
      </c>
      <c r="C55" s="23">
        <f>167300+0+0+0+0+0-55800</f>
        <v>111500</v>
      </c>
      <c r="D55" s="24">
        <v>111489.4</v>
      </c>
      <c r="E55" s="25">
        <f t="shared" si="2"/>
        <v>99.9904932735426</v>
      </c>
      <c r="F55" s="26">
        <f t="shared" si="1"/>
        <v>40</v>
      </c>
      <c r="G55" s="50"/>
      <c r="H55" s="51"/>
      <c r="I55" s="52"/>
      <c r="J55" s="53"/>
      <c r="K55" s="333"/>
    </row>
    <row r="56" spans="1:11" ht="15">
      <c r="A56" s="47" t="s">
        <v>67</v>
      </c>
      <c r="B56" s="23">
        <v>92500</v>
      </c>
      <c r="C56" s="23">
        <v>754100</v>
      </c>
      <c r="D56" s="24">
        <v>754054.99</v>
      </c>
      <c r="E56" s="25">
        <f t="shared" si="2"/>
        <v>99.99403129558414</v>
      </c>
      <c r="F56" s="26">
        <f t="shared" si="1"/>
        <v>41</v>
      </c>
      <c r="G56" s="50"/>
      <c r="H56" s="51"/>
      <c r="I56" s="52"/>
      <c r="J56" s="53"/>
      <c r="K56" s="333"/>
    </row>
    <row r="57" spans="1:11" ht="15">
      <c r="A57" s="47" t="s">
        <v>68</v>
      </c>
      <c r="B57" s="23">
        <v>0</v>
      </c>
      <c r="C57" s="23">
        <v>668500</v>
      </c>
      <c r="D57" s="24">
        <v>668492.15</v>
      </c>
      <c r="E57" s="25">
        <f t="shared" si="2"/>
        <v>99.99882572924457</v>
      </c>
      <c r="F57" s="26">
        <f t="shared" si="1"/>
        <v>42</v>
      </c>
      <c r="G57" s="50"/>
      <c r="H57" s="51"/>
      <c r="I57" s="52"/>
      <c r="J57" s="53"/>
      <c r="K57" s="333"/>
    </row>
    <row r="58" spans="1:11" ht="15">
      <c r="A58" s="46" t="s">
        <v>69</v>
      </c>
      <c r="B58" s="23">
        <v>0</v>
      </c>
      <c r="C58" s="23">
        <v>355500</v>
      </c>
      <c r="D58" s="24">
        <v>355460.15</v>
      </c>
      <c r="E58" s="25">
        <f t="shared" si="2"/>
        <v>99.98879043600564</v>
      </c>
      <c r="F58" s="26">
        <f t="shared" si="1"/>
        <v>43</v>
      </c>
      <c r="G58" s="54"/>
      <c r="H58" s="51"/>
      <c r="I58" s="52"/>
      <c r="J58" s="53"/>
      <c r="K58" s="333"/>
    </row>
    <row r="59" spans="1:11" ht="15">
      <c r="A59" s="46" t="s">
        <v>70</v>
      </c>
      <c r="B59" s="23">
        <v>0</v>
      </c>
      <c r="C59" s="23">
        <v>198800</v>
      </c>
      <c r="D59" s="24">
        <v>198769.42</v>
      </c>
      <c r="E59" s="25">
        <f t="shared" si="2"/>
        <v>99.98461770623743</v>
      </c>
      <c r="F59" s="26">
        <f t="shared" si="1"/>
        <v>44</v>
      </c>
      <c r="G59" s="50"/>
      <c r="H59" s="51"/>
      <c r="I59" s="52"/>
      <c r="J59" s="53"/>
      <c r="K59" s="333"/>
    </row>
    <row r="60" spans="1:11" ht="15">
      <c r="A60" s="46" t="s">
        <v>71</v>
      </c>
      <c r="B60" s="23">
        <v>0</v>
      </c>
      <c r="C60" s="23">
        <v>220700</v>
      </c>
      <c r="D60" s="24">
        <v>220699.92</v>
      </c>
      <c r="E60" s="25">
        <f t="shared" si="2"/>
        <v>99.99996375169916</v>
      </c>
      <c r="F60" s="26">
        <f t="shared" si="1"/>
        <v>45</v>
      </c>
      <c r="G60" s="50"/>
      <c r="H60" s="51"/>
      <c r="I60" s="52"/>
      <c r="J60" s="53"/>
      <c r="K60" s="333"/>
    </row>
    <row r="61" spans="1:11" ht="15">
      <c r="A61" s="46" t="s">
        <v>72</v>
      </c>
      <c r="B61" s="23">
        <v>0</v>
      </c>
      <c r="C61" s="23">
        <f>0+0+102900</f>
        <v>102900</v>
      </c>
      <c r="D61" s="24">
        <v>102811.75</v>
      </c>
      <c r="E61" s="25">
        <f t="shared" si="2"/>
        <v>99.9142371234208</v>
      </c>
      <c r="F61" s="26">
        <f t="shared" si="1"/>
        <v>46</v>
      </c>
      <c r="G61" s="54"/>
      <c r="H61" s="51"/>
      <c r="I61" s="52"/>
      <c r="J61" s="53"/>
      <c r="K61" s="333"/>
    </row>
    <row r="62" spans="1:11" ht="15">
      <c r="A62" s="47" t="s">
        <v>73</v>
      </c>
      <c r="B62" s="23">
        <v>36300</v>
      </c>
      <c r="C62" s="23">
        <v>36300</v>
      </c>
      <c r="D62" s="24">
        <v>36300</v>
      </c>
      <c r="E62" s="25">
        <f t="shared" si="2"/>
        <v>100</v>
      </c>
      <c r="F62" s="26">
        <f t="shared" si="1"/>
        <v>47</v>
      </c>
      <c r="G62" s="54"/>
      <c r="H62" s="51"/>
      <c r="I62" s="52"/>
      <c r="J62" s="53"/>
      <c r="K62" s="333"/>
    </row>
    <row r="63" spans="1:11" ht="15">
      <c r="A63" s="46" t="s">
        <v>74</v>
      </c>
      <c r="B63" s="23">
        <v>0</v>
      </c>
      <c r="C63" s="23">
        <f>0+0+0+0+6500</f>
        <v>6500</v>
      </c>
      <c r="D63" s="24">
        <v>6425</v>
      </c>
      <c r="E63" s="25">
        <f t="shared" si="2"/>
        <v>98.84615384615385</v>
      </c>
      <c r="F63" s="26">
        <f t="shared" si="1"/>
        <v>48</v>
      </c>
      <c r="G63" s="50"/>
      <c r="H63" s="51"/>
      <c r="I63" s="52"/>
      <c r="J63" s="53"/>
      <c r="K63" s="333"/>
    </row>
    <row r="64" spans="1:11" ht="15">
      <c r="A64" s="46" t="s">
        <v>75</v>
      </c>
      <c r="B64" s="23">
        <v>0</v>
      </c>
      <c r="C64" s="23">
        <v>83100</v>
      </c>
      <c r="D64" s="24">
        <v>82906</v>
      </c>
      <c r="E64" s="25">
        <f t="shared" si="2"/>
        <v>99.76654632972323</v>
      </c>
      <c r="F64" s="26">
        <f t="shared" si="1"/>
        <v>49</v>
      </c>
      <c r="G64" s="50"/>
      <c r="H64" s="51"/>
      <c r="I64" s="52"/>
      <c r="J64" s="53"/>
      <c r="K64" s="333"/>
    </row>
    <row r="65" spans="1:11" ht="15">
      <c r="A65" s="46" t="s">
        <v>76</v>
      </c>
      <c r="B65" s="23">
        <v>0</v>
      </c>
      <c r="C65" s="23">
        <v>145700</v>
      </c>
      <c r="D65" s="24">
        <v>145695.15</v>
      </c>
      <c r="E65" s="25">
        <f t="shared" si="2"/>
        <v>99.99667124227865</v>
      </c>
      <c r="F65" s="26">
        <f t="shared" si="1"/>
        <v>50</v>
      </c>
      <c r="G65" s="50"/>
      <c r="H65" s="51"/>
      <c r="I65" s="52"/>
      <c r="J65" s="53"/>
      <c r="K65" s="333"/>
    </row>
    <row r="66" spans="1:11" ht="15">
      <c r="A66" s="46" t="s">
        <v>77</v>
      </c>
      <c r="B66" s="23">
        <v>0</v>
      </c>
      <c r="C66" s="23">
        <f>0+0+142600</f>
        <v>142600</v>
      </c>
      <c r="D66" s="24">
        <v>142567.8</v>
      </c>
      <c r="E66" s="25">
        <f t="shared" si="2"/>
        <v>99.9774193548387</v>
      </c>
      <c r="F66" s="26">
        <f t="shared" si="1"/>
        <v>51</v>
      </c>
      <c r="G66" s="50"/>
      <c r="H66" s="51"/>
      <c r="I66" s="52"/>
      <c r="J66" s="53"/>
      <c r="K66" s="333"/>
    </row>
    <row r="67" spans="1:11" ht="15">
      <c r="A67" s="46" t="s">
        <v>78</v>
      </c>
      <c r="B67" s="23">
        <v>0</v>
      </c>
      <c r="C67" s="23">
        <v>825700</v>
      </c>
      <c r="D67" s="24">
        <v>825605.85</v>
      </c>
      <c r="E67" s="25">
        <f t="shared" si="2"/>
        <v>99.98859755359089</v>
      </c>
      <c r="F67" s="26">
        <f t="shared" si="1"/>
        <v>52</v>
      </c>
      <c r="G67" s="50"/>
      <c r="H67" s="51"/>
      <c r="I67" s="52"/>
      <c r="J67" s="53"/>
      <c r="K67" s="333"/>
    </row>
    <row r="68" spans="1:11" ht="15">
      <c r="A68" s="46" t="s">
        <v>79</v>
      </c>
      <c r="B68" s="23">
        <v>0</v>
      </c>
      <c r="C68" s="23">
        <f>0+950500-142600</f>
        <v>807900</v>
      </c>
      <c r="D68" s="24">
        <v>807884.2</v>
      </c>
      <c r="E68" s="25">
        <f t="shared" si="2"/>
        <v>99.9980443124149</v>
      </c>
      <c r="F68" s="26">
        <f t="shared" si="1"/>
        <v>53</v>
      </c>
      <c r="G68" s="50"/>
      <c r="H68" s="51"/>
      <c r="I68" s="52"/>
      <c r="J68" s="53"/>
      <c r="K68" s="333"/>
    </row>
    <row r="69" spans="1:11" ht="15">
      <c r="A69" s="46" t="s">
        <v>80</v>
      </c>
      <c r="B69" s="23">
        <v>0</v>
      </c>
      <c r="C69" s="23">
        <f>0+0+0+0+0+0+0+0+369500</f>
        <v>369500</v>
      </c>
      <c r="D69" s="24">
        <v>369427</v>
      </c>
      <c r="E69" s="25">
        <f t="shared" si="2"/>
        <v>99.98024357239514</v>
      </c>
      <c r="F69" s="26">
        <f t="shared" si="1"/>
        <v>54</v>
      </c>
      <c r="G69" s="50"/>
      <c r="H69" s="51"/>
      <c r="I69" s="52"/>
      <c r="J69" s="53"/>
      <c r="K69" s="333"/>
    </row>
    <row r="70" spans="1:11" ht="15">
      <c r="A70" s="47" t="s">
        <v>81</v>
      </c>
      <c r="B70" s="23">
        <f>750000+11400+3000+3600+1800+6000+1800+1800+4200</f>
        <v>783600</v>
      </c>
      <c r="C70" s="23">
        <f>783600+0+178200+0+0+0+2100+0+0+0+0+5000+5000</f>
        <v>973900</v>
      </c>
      <c r="D70" s="55">
        <v>973900</v>
      </c>
      <c r="E70" s="25">
        <f t="shared" si="2"/>
        <v>100</v>
      </c>
      <c r="F70" s="26">
        <f t="shared" si="1"/>
        <v>55</v>
      </c>
      <c r="G70" s="56"/>
      <c r="H70" s="57"/>
      <c r="I70" s="52"/>
      <c r="J70" s="53"/>
      <c r="K70" s="333"/>
    </row>
    <row r="71" spans="1:11" ht="15">
      <c r="A71" s="46" t="s">
        <v>82</v>
      </c>
      <c r="B71" s="23">
        <v>0</v>
      </c>
      <c r="C71" s="23">
        <f>0+0+0+0+0+0+0+51000</f>
        <v>51000</v>
      </c>
      <c r="D71" s="55">
        <v>51000</v>
      </c>
      <c r="E71" s="25">
        <f t="shared" si="2"/>
        <v>100</v>
      </c>
      <c r="F71" s="26">
        <f t="shared" si="1"/>
        <v>56</v>
      </c>
      <c r="G71" s="56"/>
      <c r="H71" s="57"/>
      <c r="I71" s="52"/>
      <c r="J71" s="53"/>
      <c r="K71" s="333"/>
    </row>
    <row r="72" spans="1:11" ht="15">
      <c r="A72" s="46" t="s">
        <v>1077</v>
      </c>
      <c r="B72" s="23">
        <v>0</v>
      </c>
      <c r="C72" s="23">
        <f>0+0+535700</f>
        <v>535700</v>
      </c>
      <c r="D72" s="55">
        <v>535667.42</v>
      </c>
      <c r="E72" s="25">
        <f t="shared" si="2"/>
        <v>99.99391823781968</v>
      </c>
      <c r="F72" s="26">
        <f t="shared" si="1"/>
        <v>57</v>
      </c>
      <c r="G72" s="56"/>
      <c r="H72" s="57"/>
      <c r="I72" s="52"/>
      <c r="J72" s="53"/>
      <c r="K72" s="333"/>
    </row>
    <row r="73" spans="1:11" ht="15">
      <c r="A73" s="46" t="s">
        <v>1078</v>
      </c>
      <c r="B73" s="23">
        <v>0</v>
      </c>
      <c r="C73" s="23">
        <v>58100</v>
      </c>
      <c r="D73" s="55">
        <v>58076.39</v>
      </c>
      <c r="E73" s="25"/>
      <c r="F73" s="26">
        <f t="shared" si="1"/>
        <v>58</v>
      </c>
      <c r="G73" s="56"/>
      <c r="H73" s="57"/>
      <c r="I73" s="52"/>
      <c r="J73" s="53"/>
      <c r="K73" s="333"/>
    </row>
    <row r="74" spans="1:11" ht="15">
      <c r="A74" s="46" t="s">
        <v>83</v>
      </c>
      <c r="B74" s="23">
        <v>0</v>
      </c>
      <c r="C74" s="23">
        <v>39400</v>
      </c>
      <c r="D74" s="55">
        <v>39363.63</v>
      </c>
      <c r="E74" s="25">
        <f t="shared" si="2"/>
        <v>99.90769035532995</v>
      </c>
      <c r="F74" s="26">
        <f t="shared" si="1"/>
        <v>59</v>
      </c>
      <c r="G74" s="56"/>
      <c r="H74" s="57"/>
      <c r="I74" s="52"/>
      <c r="J74" s="53"/>
      <c r="K74" s="333"/>
    </row>
    <row r="75" spans="1:11" ht="15">
      <c r="A75" s="46" t="s">
        <v>84</v>
      </c>
      <c r="B75" s="23">
        <v>0</v>
      </c>
      <c r="C75" s="23">
        <v>181300</v>
      </c>
      <c r="D75" s="55">
        <v>181313.79</v>
      </c>
      <c r="E75" s="25">
        <f t="shared" si="2"/>
        <v>100.00760617760618</v>
      </c>
      <c r="F75" s="26">
        <f t="shared" si="1"/>
        <v>60</v>
      </c>
      <c r="G75" s="56"/>
      <c r="H75" s="57"/>
      <c r="I75" s="52"/>
      <c r="J75" s="53"/>
      <c r="K75" s="333"/>
    </row>
    <row r="76" spans="1:11" ht="15">
      <c r="A76" s="46" t="s">
        <v>85</v>
      </c>
      <c r="B76" s="23">
        <v>0</v>
      </c>
      <c r="C76" s="23">
        <f>0+109700</f>
        <v>109700</v>
      </c>
      <c r="D76" s="55">
        <v>109634.52</v>
      </c>
      <c r="E76" s="25">
        <f t="shared" si="2"/>
        <v>99.9403099361896</v>
      </c>
      <c r="F76" s="26">
        <f t="shared" si="1"/>
        <v>61</v>
      </c>
      <c r="G76" s="56"/>
      <c r="H76" s="57"/>
      <c r="I76" s="52"/>
      <c r="J76" s="53"/>
      <c r="K76" s="333"/>
    </row>
    <row r="77" spans="1:11" ht="15">
      <c r="A77" s="46" t="s">
        <v>86</v>
      </c>
      <c r="B77" s="23">
        <v>0</v>
      </c>
      <c r="C77" s="23">
        <v>251100</v>
      </c>
      <c r="D77" s="55">
        <v>251027.99</v>
      </c>
      <c r="E77" s="25">
        <f t="shared" si="2"/>
        <v>99.97132218239744</v>
      </c>
      <c r="F77" s="26">
        <f t="shared" si="1"/>
        <v>62</v>
      </c>
      <c r="G77" s="56"/>
      <c r="H77" s="57"/>
      <c r="I77" s="52"/>
      <c r="J77" s="53"/>
      <c r="K77" s="333"/>
    </row>
    <row r="78" spans="1:11" ht="15">
      <c r="A78" s="46" t="s">
        <v>87</v>
      </c>
      <c r="B78" s="23">
        <v>0</v>
      </c>
      <c r="C78" s="23">
        <v>63500</v>
      </c>
      <c r="D78" s="55">
        <v>63442.84</v>
      </c>
      <c r="E78" s="25">
        <f t="shared" si="2"/>
        <v>99.9099842519685</v>
      </c>
      <c r="F78" s="26">
        <f t="shared" si="1"/>
        <v>63</v>
      </c>
      <c r="G78" s="56"/>
      <c r="H78" s="57"/>
      <c r="I78" s="52"/>
      <c r="J78" s="53"/>
      <c r="K78" s="333"/>
    </row>
    <row r="79" spans="1:11" ht="15">
      <c r="A79" s="46" t="s">
        <v>88</v>
      </c>
      <c r="B79" s="23">
        <v>0</v>
      </c>
      <c r="C79" s="23">
        <v>289500</v>
      </c>
      <c r="D79" s="55">
        <v>289442.74</v>
      </c>
      <c r="E79" s="25">
        <f t="shared" si="2"/>
        <v>99.98022107081174</v>
      </c>
      <c r="F79" s="26">
        <f t="shared" si="1"/>
        <v>64</v>
      </c>
      <c r="G79" s="56"/>
      <c r="H79" s="57"/>
      <c r="I79" s="52"/>
      <c r="J79" s="53"/>
      <c r="K79" s="333"/>
    </row>
    <row r="80" spans="1:11" ht="15">
      <c r="A80" s="46" t="s">
        <v>89</v>
      </c>
      <c r="B80" s="23">
        <v>0</v>
      </c>
      <c r="C80" s="23">
        <v>206500</v>
      </c>
      <c r="D80" s="55">
        <v>206462.79</v>
      </c>
      <c r="E80" s="25">
        <f t="shared" si="2"/>
        <v>99.98198062953996</v>
      </c>
      <c r="F80" s="26">
        <f t="shared" si="1"/>
        <v>65</v>
      </c>
      <c r="G80" s="56"/>
      <c r="H80" s="57"/>
      <c r="I80" s="52"/>
      <c r="J80" s="53"/>
      <c r="K80" s="333"/>
    </row>
    <row r="81" spans="1:11" ht="15">
      <c r="A81" s="46" t="s">
        <v>90</v>
      </c>
      <c r="B81" s="23">
        <v>0</v>
      </c>
      <c r="C81" s="23">
        <v>551100</v>
      </c>
      <c r="D81" s="55">
        <v>551090.98</v>
      </c>
      <c r="E81" s="25">
        <f t="shared" si="2"/>
        <v>99.9983632734531</v>
      </c>
      <c r="F81" s="26">
        <f t="shared" si="1"/>
        <v>66</v>
      </c>
      <c r="G81" s="56"/>
      <c r="H81" s="57"/>
      <c r="I81" s="52"/>
      <c r="J81" s="53"/>
      <c r="K81" s="333"/>
    </row>
    <row r="82" spans="1:11" ht="15">
      <c r="A82" s="46" t="s">
        <v>91</v>
      </c>
      <c r="B82" s="23">
        <v>0</v>
      </c>
      <c r="C82" s="23">
        <v>3445000</v>
      </c>
      <c r="D82" s="55">
        <v>3444961.71</v>
      </c>
      <c r="E82" s="25">
        <f t="shared" si="2"/>
        <v>99.9988885341074</v>
      </c>
      <c r="F82" s="26">
        <f t="shared" si="1"/>
        <v>67</v>
      </c>
      <c r="G82" s="56"/>
      <c r="H82" s="57"/>
      <c r="I82" s="52"/>
      <c r="J82" s="53"/>
      <c r="K82" s="333"/>
    </row>
    <row r="83" spans="1:11" ht="15">
      <c r="A83" s="46" t="s">
        <v>92</v>
      </c>
      <c r="B83" s="23"/>
      <c r="C83" s="23">
        <v>176700</v>
      </c>
      <c r="D83" s="55">
        <v>176627.45</v>
      </c>
      <c r="E83" s="25">
        <f t="shared" si="2"/>
        <v>99.9589417091115</v>
      </c>
      <c r="F83" s="26">
        <f t="shared" si="1"/>
        <v>68</v>
      </c>
      <c r="G83" s="56"/>
      <c r="H83" s="57"/>
      <c r="I83" s="52"/>
      <c r="J83" s="53"/>
      <c r="K83" s="333"/>
    </row>
    <row r="84" spans="1:11" ht="15">
      <c r="A84" s="46" t="s">
        <v>93</v>
      </c>
      <c r="B84" s="23"/>
      <c r="C84" s="23">
        <v>3002800</v>
      </c>
      <c r="D84" s="55">
        <v>3002666.69</v>
      </c>
      <c r="E84" s="25">
        <f t="shared" si="2"/>
        <v>99.99556047688823</v>
      </c>
      <c r="F84" s="26">
        <f aca="true" t="shared" si="3" ref="F84:F147">F83+1</f>
        <v>69</v>
      </c>
      <c r="G84" s="56"/>
      <c r="H84" s="57"/>
      <c r="I84" s="52"/>
      <c r="J84" s="53"/>
      <c r="K84" s="333"/>
    </row>
    <row r="85" spans="1:11" ht="15">
      <c r="A85" s="46" t="s">
        <v>94</v>
      </c>
      <c r="B85" s="23">
        <v>0</v>
      </c>
      <c r="C85" s="23">
        <f>0+1863800</f>
        <v>1863800</v>
      </c>
      <c r="D85" s="55">
        <v>1863786.84</v>
      </c>
      <c r="E85" s="25">
        <f t="shared" si="2"/>
        <v>99.9992939156562</v>
      </c>
      <c r="F85" s="26">
        <f t="shared" si="3"/>
        <v>70</v>
      </c>
      <c r="G85" s="56"/>
      <c r="H85" s="57"/>
      <c r="I85" s="52"/>
      <c r="J85" s="53"/>
      <c r="K85" s="333"/>
    </row>
    <row r="86" spans="1:11" ht="15">
      <c r="A86" s="46" t="s">
        <v>95</v>
      </c>
      <c r="B86" s="23">
        <v>0</v>
      </c>
      <c r="C86" s="23">
        <v>274700</v>
      </c>
      <c r="D86" s="55">
        <v>274630.93</v>
      </c>
      <c r="E86" s="25">
        <f t="shared" si="2"/>
        <v>99.97485620677102</v>
      </c>
      <c r="F86" s="26">
        <f t="shared" si="3"/>
        <v>71</v>
      </c>
      <c r="G86" s="56"/>
      <c r="H86" s="57"/>
      <c r="I86" s="52"/>
      <c r="J86" s="53"/>
      <c r="K86" s="333"/>
    </row>
    <row r="87" spans="1:11" ht="15">
      <c r="A87" s="46" t="s">
        <v>96</v>
      </c>
      <c r="B87" s="23">
        <v>0</v>
      </c>
      <c r="C87" s="23">
        <v>4267500</v>
      </c>
      <c r="D87" s="55">
        <v>4267475.99</v>
      </c>
      <c r="E87" s="25">
        <f t="shared" si="2"/>
        <v>99.9994373755126</v>
      </c>
      <c r="F87" s="26">
        <f t="shared" si="3"/>
        <v>72</v>
      </c>
      <c r="G87" s="56"/>
      <c r="H87" s="57"/>
      <c r="I87" s="52"/>
      <c r="J87" s="53"/>
      <c r="K87" s="333"/>
    </row>
    <row r="88" spans="1:11" ht="15">
      <c r="A88" s="46" t="s">
        <v>97</v>
      </c>
      <c r="B88" s="23">
        <v>0</v>
      </c>
      <c r="C88" s="23">
        <v>1078500</v>
      </c>
      <c r="D88" s="55">
        <v>1078528.44</v>
      </c>
      <c r="E88" s="25">
        <f t="shared" si="2"/>
        <v>100.00263699582754</v>
      </c>
      <c r="F88" s="26">
        <f t="shared" si="3"/>
        <v>73</v>
      </c>
      <c r="G88" s="56"/>
      <c r="H88" s="57"/>
      <c r="I88" s="52"/>
      <c r="J88" s="53"/>
      <c r="K88" s="333"/>
    </row>
    <row r="89" spans="1:11" ht="15">
      <c r="A89" s="46" t="s">
        <v>98</v>
      </c>
      <c r="B89" s="23">
        <v>0</v>
      </c>
      <c r="C89" s="23">
        <v>4920500</v>
      </c>
      <c r="D89" s="55">
        <v>4920526.74</v>
      </c>
      <c r="E89" s="25">
        <f t="shared" si="2"/>
        <v>100.00054344070726</v>
      </c>
      <c r="F89" s="26">
        <f t="shared" si="3"/>
        <v>74</v>
      </c>
      <c r="G89" s="56"/>
      <c r="H89" s="57"/>
      <c r="I89" s="52"/>
      <c r="J89" s="53"/>
      <c r="K89" s="333"/>
    </row>
    <row r="90" spans="1:11" ht="15">
      <c r="A90" s="46" t="s">
        <v>99</v>
      </c>
      <c r="B90" s="23">
        <v>0</v>
      </c>
      <c r="C90" s="23">
        <v>3509900</v>
      </c>
      <c r="D90" s="55">
        <v>3509867.55</v>
      </c>
      <c r="E90" s="25">
        <f t="shared" si="2"/>
        <v>99.99907547223566</v>
      </c>
      <c r="F90" s="26">
        <f t="shared" si="3"/>
        <v>75</v>
      </c>
      <c r="G90" s="56"/>
      <c r="H90" s="57"/>
      <c r="I90" s="52"/>
      <c r="J90" s="53"/>
      <c r="K90" s="333"/>
    </row>
    <row r="91" spans="1:11" ht="15">
      <c r="A91" s="46" t="s">
        <v>100</v>
      </c>
      <c r="B91" s="23">
        <v>0</v>
      </c>
      <c r="C91" s="23">
        <f>0+0+174300</f>
        <v>174300</v>
      </c>
      <c r="D91" s="24">
        <v>174250</v>
      </c>
      <c r="E91" s="25">
        <f t="shared" si="2"/>
        <v>99.97131382673551</v>
      </c>
      <c r="F91" s="26">
        <f t="shared" si="3"/>
        <v>76</v>
      </c>
      <c r="G91" s="58"/>
      <c r="H91" s="59"/>
      <c r="I91" s="59"/>
      <c r="J91" s="57"/>
      <c r="K91" s="334"/>
    </row>
    <row r="92" spans="1:11" ht="15">
      <c r="A92" s="46" t="s">
        <v>1079</v>
      </c>
      <c r="B92" s="23">
        <v>0</v>
      </c>
      <c r="C92" s="23">
        <f>0+0+6576100</f>
        <v>6576100</v>
      </c>
      <c r="D92" s="24">
        <v>6576009.03</v>
      </c>
      <c r="E92" s="25">
        <f>D92/C92*100</f>
        <v>99.99861665728928</v>
      </c>
      <c r="F92" s="26">
        <f t="shared" si="3"/>
        <v>77</v>
      </c>
      <c r="G92" s="58"/>
      <c r="H92" s="59"/>
      <c r="I92" s="59"/>
      <c r="J92" s="57"/>
      <c r="K92" s="334"/>
    </row>
    <row r="93" spans="1:11" ht="15">
      <c r="A93" s="46" t="s">
        <v>1080</v>
      </c>
      <c r="B93" s="23">
        <v>0</v>
      </c>
      <c r="C93" s="23">
        <v>7441900</v>
      </c>
      <c r="D93" s="24">
        <v>8437744.42</v>
      </c>
      <c r="E93" s="25">
        <f t="shared" si="2"/>
        <v>113.38158830406213</v>
      </c>
      <c r="F93" s="26">
        <f t="shared" si="3"/>
        <v>78</v>
      </c>
      <c r="G93" s="58"/>
      <c r="H93" s="59"/>
      <c r="I93" s="59"/>
      <c r="J93" s="57"/>
      <c r="K93" s="334"/>
    </row>
    <row r="94" spans="1:11" ht="15">
      <c r="A94" s="61" t="s">
        <v>101</v>
      </c>
      <c r="B94" s="62">
        <f>SUM(B16:B93)</f>
        <v>87301700</v>
      </c>
      <c r="C94" s="62">
        <f>SUM(C16:C93)</f>
        <v>138433700</v>
      </c>
      <c r="D94" s="63">
        <f>SUM(D16:D93)</f>
        <v>138118075.12</v>
      </c>
      <c r="E94" s="63">
        <f t="shared" si="2"/>
        <v>99.77200285768568</v>
      </c>
      <c r="F94" s="26">
        <f t="shared" si="3"/>
        <v>79</v>
      </c>
      <c r="G94" s="64"/>
      <c r="H94" s="59"/>
      <c r="I94" s="59"/>
      <c r="J94" s="57"/>
      <c r="K94" s="334"/>
    </row>
    <row r="95" spans="1:11" ht="15">
      <c r="A95" s="65"/>
      <c r="B95" s="66"/>
      <c r="C95" s="66"/>
      <c r="D95" s="327"/>
      <c r="E95" s="327"/>
      <c r="F95" s="26">
        <f t="shared" si="3"/>
        <v>80</v>
      </c>
      <c r="G95" s="67"/>
      <c r="H95" s="67"/>
      <c r="I95" s="67"/>
      <c r="J95" s="67"/>
      <c r="K95" s="335"/>
    </row>
    <row r="96" spans="1:11" ht="15">
      <c r="A96" s="65"/>
      <c r="B96" s="66"/>
      <c r="C96" s="66"/>
      <c r="D96" s="327"/>
      <c r="E96" s="327"/>
      <c r="F96" s="26">
        <f t="shared" si="3"/>
        <v>81</v>
      </c>
      <c r="G96" s="68" t="s">
        <v>102</v>
      </c>
      <c r="H96" s="69">
        <f>SUM(H97:H99)</f>
        <v>80000</v>
      </c>
      <c r="I96" s="69">
        <f>SUM(I97:I99)</f>
        <v>80000</v>
      </c>
      <c r="J96" s="70">
        <f>SUM(J97:J99)</f>
        <v>47021</v>
      </c>
      <c r="K96" s="216">
        <f>J96/I96*100</f>
        <v>58.77625</v>
      </c>
    </row>
    <row r="97" spans="1:11" ht="15">
      <c r="A97" s="65"/>
      <c r="B97" s="66"/>
      <c r="C97" s="66"/>
      <c r="D97" s="327"/>
      <c r="E97" s="327"/>
      <c r="F97" s="26">
        <f t="shared" si="3"/>
        <v>82</v>
      </c>
      <c r="G97" s="72" t="s">
        <v>103</v>
      </c>
      <c r="H97" s="31">
        <v>20000</v>
      </c>
      <c r="I97" s="31">
        <v>20000</v>
      </c>
      <c r="J97" s="73">
        <v>9850</v>
      </c>
      <c r="K97" s="336">
        <f>J97/I97*100</f>
        <v>49.25</v>
      </c>
    </row>
    <row r="98" spans="1:11" ht="15">
      <c r="A98" s="74"/>
      <c r="B98" s="66"/>
      <c r="C98" s="66"/>
      <c r="D98" s="327"/>
      <c r="E98" s="327"/>
      <c r="F98" s="26">
        <f t="shared" si="3"/>
        <v>83</v>
      </c>
      <c r="G98" s="75" t="s">
        <v>104</v>
      </c>
      <c r="H98" s="31">
        <v>15000</v>
      </c>
      <c r="I98" s="31">
        <v>15000</v>
      </c>
      <c r="J98" s="76">
        <v>14298</v>
      </c>
      <c r="K98" s="336">
        <f>J98/I98*100</f>
        <v>95.32000000000001</v>
      </c>
    </row>
    <row r="99" spans="1:11" ht="15">
      <c r="A99" s="65"/>
      <c r="B99" s="66"/>
      <c r="C99" s="66"/>
      <c r="D99" s="327"/>
      <c r="E99" s="327"/>
      <c r="F99" s="26">
        <f t="shared" si="3"/>
        <v>84</v>
      </c>
      <c r="G99" s="77" t="s">
        <v>105</v>
      </c>
      <c r="H99" s="31">
        <v>45000</v>
      </c>
      <c r="I99" s="31">
        <v>45000</v>
      </c>
      <c r="J99" s="25">
        <v>22873</v>
      </c>
      <c r="K99" s="336">
        <f>J99/I99*100</f>
        <v>50.82888888888889</v>
      </c>
    </row>
    <row r="100" spans="1:11" ht="15">
      <c r="A100" s="65"/>
      <c r="B100" s="66"/>
      <c r="C100" s="66"/>
      <c r="D100" s="327"/>
      <c r="E100" s="327"/>
      <c r="F100" s="26">
        <f t="shared" si="3"/>
        <v>85</v>
      </c>
      <c r="G100" s="77"/>
      <c r="H100" s="78"/>
      <c r="I100" s="78"/>
      <c r="J100" s="79"/>
      <c r="K100" s="337"/>
    </row>
    <row r="101" spans="1:11" ht="15">
      <c r="A101" s="65"/>
      <c r="B101" s="66"/>
      <c r="C101" s="66"/>
      <c r="D101" s="327"/>
      <c r="E101" s="327"/>
      <c r="F101" s="26">
        <f t="shared" si="3"/>
        <v>86</v>
      </c>
      <c r="G101" s="80" t="s">
        <v>106</v>
      </c>
      <c r="H101" s="62">
        <f>SUM(H102:H102)</f>
        <v>0</v>
      </c>
      <c r="I101" s="62">
        <f>SUM(I102:I102)</f>
        <v>97400</v>
      </c>
      <c r="J101" s="63">
        <f>SUM(J102:J102)</f>
        <v>82906</v>
      </c>
      <c r="K101" s="216">
        <f>J101/I101*100</f>
        <v>85.11909650924025</v>
      </c>
    </row>
    <row r="102" spans="1:11" ht="15">
      <c r="A102" s="65"/>
      <c r="B102" s="66"/>
      <c r="C102" s="66"/>
      <c r="D102" s="327"/>
      <c r="E102" s="327"/>
      <c r="F102" s="26">
        <f t="shared" si="3"/>
        <v>87</v>
      </c>
      <c r="G102" s="75" t="s">
        <v>107</v>
      </c>
      <c r="H102" s="82">
        <v>0</v>
      </c>
      <c r="I102" s="82">
        <v>97400</v>
      </c>
      <c r="J102" s="83">
        <v>82906</v>
      </c>
      <c r="K102" s="336">
        <f>J102/I102*100</f>
        <v>85.11909650924025</v>
      </c>
    </row>
    <row r="103" spans="1:11" ht="15">
      <c r="A103" s="65"/>
      <c r="B103" s="66"/>
      <c r="C103" s="66"/>
      <c r="D103" s="327"/>
      <c r="E103" s="327"/>
      <c r="F103" s="26">
        <f t="shared" si="3"/>
        <v>88</v>
      </c>
      <c r="G103" s="84"/>
      <c r="H103" s="85"/>
      <c r="I103" s="85"/>
      <c r="J103" s="86"/>
      <c r="K103" s="337"/>
    </row>
    <row r="104" spans="1:11" ht="15">
      <c r="A104" s="65"/>
      <c r="B104" s="66"/>
      <c r="C104" s="66"/>
      <c r="D104" s="327"/>
      <c r="E104" s="327"/>
      <c r="F104" s="26">
        <f t="shared" si="3"/>
        <v>89</v>
      </c>
      <c r="G104" s="68" t="s">
        <v>108</v>
      </c>
      <c r="H104" s="69">
        <f>H105</f>
        <v>0</v>
      </c>
      <c r="I104" s="87">
        <f>I105</f>
        <v>28200</v>
      </c>
      <c r="J104" s="70">
        <f>J105</f>
        <v>6425</v>
      </c>
      <c r="K104" s="216">
        <f>J104/I104*100</f>
        <v>22.78368794326241</v>
      </c>
    </row>
    <row r="105" spans="1:11" ht="15">
      <c r="A105" s="65"/>
      <c r="B105" s="66"/>
      <c r="C105" s="66"/>
      <c r="D105" s="327"/>
      <c r="E105" s="327"/>
      <c r="F105" s="26">
        <f t="shared" si="3"/>
        <v>90</v>
      </c>
      <c r="G105" s="77" t="s">
        <v>109</v>
      </c>
      <c r="H105" s="23">
        <v>0</v>
      </c>
      <c r="I105" s="23">
        <f>0+0+21200+0+7000</f>
        <v>28200</v>
      </c>
      <c r="J105" s="25">
        <v>6425</v>
      </c>
      <c r="K105" s="336">
        <f>J105/I105*100</f>
        <v>22.78368794326241</v>
      </c>
    </row>
    <row r="106" spans="1:11" ht="15">
      <c r="A106" s="65"/>
      <c r="B106" s="66"/>
      <c r="C106" s="66"/>
      <c r="D106" s="327"/>
      <c r="E106" s="327"/>
      <c r="F106" s="26">
        <f t="shared" si="3"/>
        <v>91</v>
      </c>
      <c r="G106" s="88"/>
      <c r="H106" s="89"/>
      <c r="I106" s="89"/>
      <c r="J106" s="90"/>
      <c r="K106" s="338"/>
    </row>
    <row r="107" spans="1:11" ht="15">
      <c r="A107" s="65"/>
      <c r="B107" s="66"/>
      <c r="C107" s="66"/>
      <c r="D107" s="327"/>
      <c r="E107" s="327"/>
      <c r="F107" s="26">
        <f t="shared" si="3"/>
        <v>92</v>
      </c>
      <c r="G107" s="68" t="s">
        <v>110</v>
      </c>
      <c r="H107" s="62">
        <f>SUM(H108:H111)</f>
        <v>24600</v>
      </c>
      <c r="I107" s="62">
        <f>SUM(I108:I111)</f>
        <v>24600</v>
      </c>
      <c r="J107" s="63">
        <f>SUM(J108:J111)</f>
        <v>13273</v>
      </c>
      <c r="K107" s="216">
        <f>J107/I107*100</f>
        <v>53.95528455284553</v>
      </c>
    </row>
    <row r="108" spans="1:11" ht="15">
      <c r="A108" s="65"/>
      <c r="B108" s="66"/>
      <c r="C108" s="66"/>
      <c r="D108" s="327"/>
      <c r="E108" s="327"/>
      <c r="F108" s="26">
        <f t="shared" si="3"/>
        <v>93</v>
      </c>
      <c r="G108" s="77" t="s">
        <v>111</v>
      </c>
      <c r="H108" s="31">
        <v>9500</v>
      </c>
      <c r="I108" s="31">
        <v>9500</v>
      </c>
      <c r="J108" s="25">
        <v>9273</v>
      </c>
      <c r="K108" s="336">
        <f>J108/I108*100</f>
        <v>97.61052631578947</v>
      </c>
    </row>
    <row r="109" spans="1:11" ht="15">
      <c r="A109" s="36"/>
      <c r="B109" s="91"/>
      <c r="C109" s="91"/>
      <c r="D109" s="91"/>
      <c r="E109" s="91"/>
      <c r="F109" s="26">
        <f t="shared" si="3"/>
        <v>94</v>
      </c>
      <c r="G109" s="77" t="s">
        <v>112</v>
      </c>
      <c r="H109" s="31">
        <v>3000</v>
      </c>
      <c r="I109" s="31">
        <v>3000</v>
      </c>
      <c r="J109" s="25">
        <v>0</v>
      </c>
      <c r="K109" s="336">
        <f>J109/I109*100</f>
        <v>0</v>
      </c>
    </row>
    <row r="110" spans="1:11" ht="15">
      <c r="A110" s="92" t="s">
        <v>113</v>
      </c>
      <c r="B110" s="87">
        <f>B111</f>
        <v>500000</v>
      </c>
      <c r="C110" s="87">
        <f>C111</f>
        <v>500000</v>
      </c>
      <c r="D110" s="93">
        <f>D111</f>
        <v>488184</v>
      </c>
      <c r="E110" s="93">
        <f>D110/C110*100</f>
        <v>97.63680000000001</v>
      </c>
      <c r="F110" s="26">
        <f t="shared" si="3"/>
        <v>95</v>
      </c>
      <c r="G110" s="94" t="s">
        <v>114</v>
      </c>
      <c r="H110" s="31">
        <v>8100</v>
      </c>
      <c r="I110" s="31">
        <v>8100</v>
      </c>
      <c r="J110" s="25">
        <v>0</v>
      </c>
      <c r="K110" s="336">
        <f>J110/I110*100</f>
        <v>0</v>
      </c>
    </row>
    <row r="111" spans="1:11" ht="15">
      <c r="A111" s="94" t="s">
        <v>115</v>
      </c>
      <c r="B111" s="95">
        <v>500000</v>
      </c>
      <c r="C111" s="95">
        <v>500000</v>
      </c>
      <c r="D111" s="25">
        <v>488184</v>
      </c>
      <c r="E111" s="73">
        <f>D111/C111*100</f>
        <v>97.63680000000001</v>
      </c>
      <c r="F111" s="26">
        <f t="shared" si="3"/>
        <v>96</v>
      </c>
      <c r="G111" s="75" t="s">
        <v>116</v>
      </c>
      <c r="H111" s="96">
        <v>4000</v>
      </c>
      <c r="I111" s="96">
        <v>4000</v>
      </c>
      <c r="J111" s="76">
        <v>4000</v>
      </c>
      <c r="K111" s="339">
        <f>J111/I111*100</f>
        <v>100</v>
      </c>
    </row>
    <row r="112" spans="1:11" ht="15">
      <c r="A112" s="97"/>
      <c r="B112" s="98"/>
      <c r="C112" s="98"/>
      <c r="D112" s="79"/>
      <c r="E112" s="99"/>
      <c r="F112" s="26">
        <f t="shared" si="3"/>
        <v>97</v>
      </c>
      <c r="G112" s="75"/>
      <c r="H112" s="100"/>
      <c r="I112" s="100"/>
      <c r="J112" s="101"/>
      <c r="K112" s="337"/>
    </row>
    <row r="113" spans="1:11" ht="15">
      <c r="A113" s="92" t="s">
        <v>117</v>
      </c>
      <c r="B113" s="87">
        <f>B114</f>
        <v>10000</v>
      </c>
      <c r="C113" s="87">
        <f>C114</f>
        <v>10000</v>
      </c>
      <c r="D113" s="93">
        <f>SUM(D114)</f>
        <v>8061</v>
      </c>
      <c r="E113" s="93">
        <f>D113/C113*100</f>
        <v>80.61</v>
      </c>
      <c r="F113" s="26">
        <f t="shared" si="3"/>
        <v>98</v>
      </c>
      <c r="G113" s="102" t="s">
        <v>117</v>
      </c>
      <c r="H113" s="69">
        <f>SUM(H114:H118)</f>
        <v>51500</v>
      </c>
      <c r="I113" s="69">
        <f>SUM(I114:I118)</f>
        <v>51500</v>
      </c>
      <c r="J113" s="70">
        <f>SUM(J114:J118)</f>
        <v>35607</v>
      </c>
      <c r="K113" s="216">
        <f aca="true" t="shared" si="4" ref="K113:K118">J113/I113*100</f>
        <v>69.13980582524272</v>
      </c>
    </row>
    <row r="114" spans="1:11" ht="15">
      <c r="A114" s="94" t="s">
        <v>118</v>
      </c>
      <c r="B114" s="95">
        <v>10000</v>
      </c>
      <c r="C114" s="95">
        <v>10000</v>
      </c>
      <c r="D114" s="25">
        <v>8061</v>
      </c>
      <c r="E114" s="73">
        <f>D114/C114*100</f>
        <v>80.61</v>
      </c>
      <c r="F114" s="26">
        <f t="shared" si="3"/>
        <v>99</v>
      </c>
      <c r="G114" s="75" t="s">
        <v>119</v>
      </c>
      <c r="H114" s="31">
        <v>10000</v>
      </c>
      <c r="I114" s="31">
        <v>4900</v>
      </c>
      <c r="J114" s="76">
        <v>0</v>
      </c>
      <c r="K114" s="336">
        <f t="shared" si="4"/>
        <v>0</v>
      </c>
    </row>
    <row r="115" spans="1:11" ht="15">
      <c r="A115" s="103"/>
      <c r="B115" s="104"/>
      <c r="C115" s="104"/>
      <c r="D115" s="105"/>
      <c r="E115" s="106"/>
      <c r="F115" s="26">
        <f t="shared" si="3"/>
        <v>100</v>
      </c>
      <c r="G115" s="75" t="s">
        <v>120</v>
      </c>
      <c r="H115" s="31">
        <v>40000</v>
      </c>
      <c r="I115" s="31">
        <v>40000</v>
      </c>
      <c r="J115" s="76">
        <v>30031</v>
      </c>
      <c r="K115" s="336">
        <f t="shared" si="4"/>
        <v>75.0775</v>
      </c>
    </row>
    <row r="116" spans="1:11" ht="15">
      <c r="A116" s="102" t="s">
        <v>121</v>
      </c>
      <c r="B116" s="107">
        <f>SUM(B117:B119)</f>
        <v>183800</v>
      </c>
      <c r="C116" s="107">
        <f>SUM(C117:C119)</f>
        <v>213800</v>
      </c>
      <c r="D116" s="108">
        <f>SUM(D117:D119)</f>
        <v>185749</v>
      </c>
      <c r="E116" s="109">
        <f>D116/C116*100</f>
        <v>86.87979420018709</v>
      </c>
      <c r="F116" s="26">
        <f t="shared" si="3"/>
        <v>101</v>
      </c>
      <c r="G116" s="75" t="s">
        <v>116</v>
      </c>
      <c r="H116" s="31">
        <v>500</v>
      </c>
      <c r="I116" s="31">
        <v>5600</v>
      </c>
      <c r="J116" s="76">
        <v>5576</v>
      </c>
      <c r="K116" s="336">
        <f t="shared" si="4"/>
        <v>99.57142857142857</v>
      </c>
    </row>
    <row r="117" spans="1:11" ht="15">
      <c r="A117" s="94" t="s">
        <v>122</v>
      </c>
      <c r="B117" s="96">
        <v>33200</v>
      </c>
      <c r="C117" s="96">
        <v>33200</v>
      </c>
      <c r="D117" s="25">
        <v>33184</v>
      </c>
      <c r="E117" s="110">
        <f>D117/C117*100</f>
        <v>99.95180722891567</v>
      </c>
      <c r="F117" s="26">
        <f t="shared" si="3"/>
        <v>102</v>
      </c>
      <c r="G117" s="75" t="s">
        <v>123</v>
      </c>
      <c r="H117" s="31">
        <v>500</v>
      </c>
      <c r="I117" s="31">
        <v>500</v>
      </c>
      <c r="J117" s="76">
        <v>0</v>
      </c>
      <c r="K117" s="336">
        <f t="shared" si="4"/>
        <v>0</v>
      </c>
    </row>
    <row r="118" spans="1:11" ht="15">
      <c r="A118" s="75" t="s">
        <v>124</v>
      </c>
      <c r="B118" s="96">
        <v>101700</v>
      </c>
      <c r="C118" s="111">
        <f>101700+0+0+0+0+0+0+0+0+0+0+30000</f>
        <v>131700</v>
      </c>
      <c r="D118" s="76">
        <v>122114</v>
      </c>
      <c r="E118" s="110">
        <f>D118/C118*100</f>
        <v>92.7213363705391</v>
      </c>
      <c r="F118" s="26">
        <f t="shared" si="3"/>
        <v>103</v>
      </c>
      <c r="G118" s="75" t="s">
        <v>125</v>
      </c>
      <c r="H118" s="31">
        <v>500</v>
      </c>
      <c r="I118" s="31">
        <v>500</v>
      </c>
      <c r="J118" s="76">
        <v>0</v>
      </c>
      <c r="K118" s="336">
        <f t="shared" si="4"/>
        <v>0</v>
      </c>
    </row>
    <row r="119" spans="1:11" ht="15">
      <c r="A119" s="94" t="s">
        <v>126</v>
      </c>
      <c r="B119" s="96">
        <v>48900</v>
      </c>
      <c r="C119" s="96">
        <v>48900</v>
      </c>
      <c r="D119" s="25">
        <v>30451</v>
      </c>
      <c r="E119" s="110">
        <f>D119/C119*100</f>
        <v>62.2719836400818</v>
      </c>
      <c r="F119" s="26">
        <f t="shared" si="3"/>
        <v>104</v>
      </c>
      <c r="G119" s="112"/>
      <c r="H119" s="113"/>
      <c r="I119" s="113"/>
      <c r="J119" s="114"/>
      <c r="K119" s="340"/>
    </row>
    <row r="120" spans="1:11" ht="15">
      <c r="A120" s="115"/>
      <c r="B120" s="116"/>
      <c r="C120" s="116"/>
      <c r="D120" s="117"/>
      <c r="E120" s="118"/>
      <c r="F120" s="26">
        <f t="shared" si="3"/>
        <v>105</v>
      </c>
      <c r="G120" s="50"/>
      <c r="H120" s="119"/>
      <c r="I120" s="119"/>
      <c r="J120" s="120"/>
      <c r="K120" s="341"/>
    </row>
    <row r="121" spans="1:11" ht="15">
      <c r="A121" s="121" t="s">
        <v>127</v>
      </c>
      <c r="B121" s="107">
        <f>B122</f>
        <v>70000</v>
      </c>
      <c r="C121" s="107">
        <f>C122</f>
        <v>40000</v>
      </c>
      <c r="D121" s="108">
        <f>D122</f>
        <v>20200</v>
      </c>
      <c r="E121" s="109">
        <f>D121/C121*100</f>
        <v>50.5</v>
      </c>
      <c r="F121" s="26">
        <f t="shared" si="3"/>
        <v>106</v>
      </c>
      <c r="G121" s="50"/>
      <c r="H121" s="119"/>
      <c r="I121" s="119"/>
      <c r="J121" s="120"/>
      <c r="K121" s="341"/>
    </row>
    <row r="122" spans="1:11" ht="15">
      <c r="A122" s="94" t="s">
        <v>128</v>
      </c>
      <c r="B122" s="96">
        <v>70000</v>
      </c>
      <c r="C122" s="96">
        <f>70000-30000</f>
        <v>40000</v>
      </c>
      <c r="D122" s="25">
        <v>20200</v>
      </c>
      <c r="E122" s="110">
        <f>D122/C122*100</f>
        <v>50.5</v>
      </c>
      <c r="F122" s="26">
        <f t="shared" si="3"/>
        <v>107</v>
      </c>
      <c r="G122" s="58"/>
      <c r="H122" s="59"/>
      <c r="I122" s="59"/>
      <c r="J122" s="60"/>
      <c r="K122" s="341"/>
    </row>
    <row r="123" spans="1:11" ht="15">
      <c r="A123" s="122"/>
      <c r="B123" s="123"/>
      <c r="C123" s="123"/>
      <c r="D123" s="105"/>
      <c r="E123" s="124"/>
      <c r="F123" s="26">
        <f t="shared" si="3"/>
        <v>108</v>
      </c>
      <c r="G123" s="50"/>
      <c r="H123" s="119"/>
      <c r="I123" s="119"/>
      <c r="J123" s="120"/>
      <c r="K123" s="341"/>
    </row>
    <row r="124" spans="1:11" ht="15">
      <c r="A124" s="92" t="s">
        <v>129</v>
      </c>
      <c r="B124" s="87">
        <f>SUM(B125:B129)</f>
        <v>163600</v>
      </c>
      <c r="C124" s="87">
        <f>SUM(C125:C129)</f>
        <v>166600</v>
      </c>
      <c r="D124" s="93">
        <f>SUM(D125:D129)</f>
        <v>161409</v>
      </c>
      <c r="E124" s="93">
        <f>D124/C124*100</f>
        <v>96.8841536614646</v>
      </c>
      <c r="F124" s="26">
        <f t="shared" si="3"/>
        <v>109</v>
      </c>
      <c r="G124" s="125" t="s">
        <v>130</v>
      </c>
      <c r="H124" s="126">
        <f>SUM(H125:H156)</f>
        <v>36350000</v>
      </c>
      <c r="I124" s="126">
        <f>SUM(I125:I156)</f>
        <v>18964900</v>
      </c>
      <c r="J124" s="127">
        <f>SUM(J125:J156)</f>
        <v>17804830.309999995</v>
      </c>
      <c r="K124" s="216">
        <f aca="true" t="shared" si="5" ref="K124:K156">J124/I124*100</f>
        <v>93.88306982899987</v>
      </c>
    </row>
    <row r="125" spans="1:11" ht="15">
      <c r="A125" s="94" t="s">
        <v>131</v>
      </c>
      <c r="B125" s="95">
        <v>52200</v>
      </c>
      <c r="C125" s="95">
        <v>52200</v>
      </c>
      <c r="D125" s="25">
        <v>47839</v>
      </c>
      <c r="E125" s="73">
        <f>D125/C125*100</f>
        <v>91.6455938697318</v>
      </c>
      <c r="F125" s="26">
        <f t="shared" si="3"/>
        <v>110</v>
      </c>
      <c r="G125" s="128" t="s">
        <v>132</v>
      </c>
      <c r="H125" s="31">
        <v>0</v>
      </c>
      <c r="I125" s="31">
        <f>0+0+0+0+0+0+0+0+0+6000</f>
        <v>6000</v>
      </c>
      <c r="J125" s="24">
        <v>0</v>
      </c>
      <c r="K125" s="336">
        <f t="shared" si="5"/>
        <v>0</v>
      </c>
    </row>
    <row r="126" spans="1:11" ht="15">
      <c r="A126" s="94" t="s">
        <v>133</v>
      </c>
      <c r="B126" s="95">
        <v>111400</v>
      </c>
      <c r="C126" s="95">
        <v>111400</v>
      </c>
      <c r="D126" s="25">
        <v>111320</v>
      </c>
      <c r="E126" s="73">
        <f>D126/C126*100</f>
        <v>99.92818671454219</v>
      </c>
      <c r="F126" s="26">
        <f t="shared" si="3"/>
        <v>111</v>
      </c>
      <c r="G126" s="128" t="s">
        <v>134</v>
      </c>
      <c r="H126" s="31">
        <v>0</v>
      </c>
      <c r="I126" s="31">
        <v>143100</v>
      </c>
      <c r="J126" s="24">
        <v>143091.48</v>
      </c>
      <c r="K126" s="336">
        <f t="shared" si="5"/>
        <v>99.9940461215933</v>
      </c>
    </row>
    <row r="127" spans="1:11" ht="15">
      <c r="A127" s="129" t="s">
        <v>135</v>
      </c>
      <c r="B127" s="95"/>
      <c r="C127" s="95">
        <v>3000</v>
      </c>
      <c r="D127" s="25">
        <v>2250</v>
      </c>
      <c r="E127" s="73"/>
      <c r="F127" s="26">
        <f t="shared" si="3"/>
        <v>112</v>
      </c>
      <c r="G127" s="72" t="s">
        <v>136</v>
      </c>
      <c r="H127" s="31">
        <v>200000</v>
      </c>
      <c r="I127" s="31">
        <f>200000+100000</f>
        <v>300000</v>
      </c>
      <c r="J127" s="24">
        <v>242405.28</v>
      </c>
      <c r="K127" s="336">
        <f t="shared" si="5"/>
        <v>80.80176</v>
      </c>
    </row>
    <row r="128" spans="1:11" ht="15">
      <c r="A128" s="97"/>
      <c r="B128" s="104"/>
      <c r="C128" s="104"/>
      <c r="D128" s="130"/>
      <c r="E128" s="106"/>
      <c r="F128" s="26">
        <f t="shared" si="3"/>
        <v>113</v>
      </c>
      <c r="G128" s="128" t="s">
        <v>137</v>
      </c>
      <c r="H128" s="31">
        <v>0</v>
      </c>
      <c r="I128" s="31">
        <f>0+20800</f>
        <v>20800</v>
      </c>
      <c r="J128" s="24">
        <v>20705.52</v>
      </c>
      <c r="K128" s="336">
        <f t="shared" si="5"/>
        <v>99.54576923076924</v>
      </c>
    </row>
    <row r="129" spans="1:11" ht="15">
      <c r="A129" s="36"/>
      <c r="B129" s="131"/>
      <c r="C129" s="131"/>
      <c r="D129" s="34"/>
      <c r="E129" s="363"/>
      <c r="F129" s="26">
        <f t="shared" si="3"/>
        <v>114</v>
      </c>
      <c r="G129" s="94" t="s">
        <v>116</v>
      </c>
      <c r="H129" s="31">
        <v>100000</v>
      </c>
      <c r="I129" s="31">
        <v>100000</v>
      </c>
      <c r="J129" s="25">
        <v>24950</v>
      </c>
      <c r="K129" s="336">
        <f t="shared" si="5"/>
        <v>24.95</v>
      </c>
    </row>
    <row r="130" spans="1:11" ht="15">
      <c r="A130" s="36"/>
      <c r="B130" s="131"/>
      <c r="C130" s="131"/>
      <c r="D130" s="34"/>
      <c r="E130" s="132"/>
      <c r="F130" s="26">
        <f t="shared" si="3"/>
        <v>115</v>
      </c>
      <c r="G130" s="94" t="s">
        <v>1081</v>
      </c>
      <c r="H130" s="31">
        <v>0</v>
      </c>
      <c r="I130" s="31">
        <v>17600</v>
      </c>
      <c r="J130" s="25">
        <v>17545</v>
      </c>
      <c r="K130" s="336">
        <f>J130/I130*100</f>
        <v>99.6875</v>
      </c>
    </row>
    <row r="131" spans="1:11" ht="15">
      <c r="A131" s="36"/>
      <c r="B131" s="131"/>
      <c r="C131" s="131"/>
      <c r="D131" s="34"/>
      <c r="E131" s="132"/>
      <c r="F131" s="26">
        <f t="shared" si="3"/>
        <v>116</v>
      </c>
      <c r="G131" s="94" t="s">
        <v>138</v>
      </c>
      <c r="H131" s="31">
        <v>0</v>
      </c>
      <c r="I131" s="31">
        <f>34000</f>
        <v>34000</v>
      </c>
      <c r="J131" s="25">
        <v>33275</v>
      </c>
      <c r="K131" s="336">
        <f t="shared" si="5"/>
        <v>97.86764705882352</v>
      </c>
    </row>
    <row r="132" spans="1:11" ht="15">
      <c r="A132" s="65"/>
      <c r="B132" s="133"/>
      <c r="C132" s="133"/>
      <c r="D132" s="134"/>
      <c r="E132" s="134"/>
      <c r="F132" s="26">
        <f t="shared" si="3"/>
        <v>117</v>
      </c>
      <c r="G132" s="135" t="s">
        <v>139</v>
      </c>
      <c r="H132" s="31">
        <v>600000</v>
      </c>
      <c r="I132" s="31">
        <f>600000+0+0+0-150000+0+0+0+0+106000+150000</f>
        <v>706000</v>
      </c>
      <c r="J132" s="25">
        <v>446593.71</v>
      </c>
      <c r="K132" s="336">
        <f t="shared" si="5"/>
        <v>63.25689943342776</v>
      </c>
    </row>
    <row r="133" spans="1:11" ht="15">
      <c r="A133" s="65"/>
      <c r="B133" s="133"/>
      <c r="C133" s="133"/>
      <c r="D133" s="134"/>
      <c r="E133" s="134"/>
      <c r="F133" s="26">
        <f t="shared" si="3"/>
        <v>118</v>
      </c>
      <c r="G133" s="135" t="s">
        <v>1082</v>
      </c>
      <c r="H133" s="31">
        <v>0</v>
      </c>
      <c r="I133" s="31">
        <v>1100</v>
      </c>
      <c r="J133" s="25">
        <v>1009.14</v>
      </c>
      <c r="K133" s="336">
        <f>J133/I133*100</f>
        <v>91.74</v>
      </c>
    </row>
    <row r="134" spans="1:11" ht="15">
      <c r="A134" s="36"/>
      <c r="B134" s="131"/>
      <c r="C134" s="131"/>
      <c r="D134" s="34"/>
      <c r="E134" s="132"/>
      <c r="F134" s="26">
        <f t="shared" si="3"/>
        <v>119</v>
      </c>
      <c r="G134" s="135" t="s">
        <v>140</v>
      </c>
      <c r="H134" s="31">
        <v>400000</v>
      </c>
      <c r="I134" s="31">
        <v>0</v>
      </c>
      <c r="J134" s="25">
        <v>0</v>
      </c>
      <c r="K134" s="336" t="e">
        <f>J134/I134*100</f>
        <v>#DIV/0!</v>
      </c>
    </row>
    <row r="135" spans="1:11" ht="15">
      <c r="A135" s="36"/>
      <c r="B135" s="131"/>
      <c r="C135" s="131"/>
      <c r="D135" s="34"/>
      <c r="E135" s="132"/>
      <c r="F135" s="26">
        <f t="shared" si="3"/>
        <v>120</v>
      </c>
      <c r="G135" s="135" t="s">
        <v>141</v>
      </c>
      <c r="H135" s="31">
        <v>80000</v>
      </c>
      <c r="I135" s="31">
        <f>80000-60000</f>
        <v>20000</v>
      </c>
      <c r="J135" s="25">
        <v>0</v>
      </c>
      <c r="K135" s="336">
        <f t="shared" si="5"/>
        <v>0</v>
      </c>
    </row>
    <row r="136" spans="1:11" ht="15">
      <c r="A136" s="36"/>
      <c r="B136" s="91"/>
      <c r="C136" s="91"/>
      <c r="D136" s="34"/>
      <c r="E136" s="132"/>
      <c r="F136" s="26">
        <f t="shared" si="3"/>
        <v>121</v>
      </c>
      <c r="G136" s="135" t="s">
        <v>142</v>
      </c>
      <c r="H136" s="31">
        <v>20000000</v>
      </c>
      <c r="I136" s="31">
        <v>321700</v>
      </c>
      <c r="J136" s="25">
        <v>277849</v>
      </c>
      <c r="K136" s="336">
        <f t="shared" si="5"/>
        <v>86.36897730805097</v>
      </c>
    </row>
    <row r="137" spans="1:11" ht="15">
      <c r="A137" s="36"/>
      <c r="B137" s="91"/>
      <c r="C137" s="91"/>
      <c r="D137" s="34"/>
      <c r="E137" s="34"/>
      <c r="F137" s="26">
        <f t="shared" si="3"/>
        <v>122</v>
      </c>
      <c r="G137" s="135" t="s">
        <v>143</v>
      </c>
      <c r="H137" s="31">
        <v>200000</v>
      </c>
      <c r="I137" s="31">
        <f>200000+0+0+0+130000-250000</f>
        <v>80000</v>
      </c>
      <c r="J137" s="25">
        <v>30250</v>
      </c>
      <c r="K137" s="336">
        <f t="shared" si="5"/>
        <v>37.8125</v>
      </c>
    </row>
    <row r="138" spans="1:11" ht="15">
      <c r="A138" s="36"/>
      <c r="B138" s="91"/>
      <c r="C138" s="91"/>
      <c r="D138" s="34"/>
      <c r="E138" s="34"/>
      <c r="F138" s="26">
        <f t="shared" si="3"/>
        <v>123</v>
      </c>
      <c r="G138" s="135" t="s">
        <v>144</v>
      </c>
      <c r="H138" s="23">
        <v>0</v>
      </c>
      <c r="I138" s="23">
        <f>0+0+0+0+385900-250000</f>
        <v>135900</v>
      </c>
      <c r="J138" s="25">
        <v>45600</v>
      </c>
      <c r="K138" s="342">
        <f>J138/I138*100</f>
        <v>33.554083885209714</v>
      </c>
    </row>
    <row r="139" spans="1:11" ht="15">
      <c r="A139" s="36"/>
      <c r="B139" s="91"/>
      <c r="C139" s="91"/>
      <c r="D139" s="34"/>
      <c r="E139" s="34"/>
      <c r="F139" s="26">
        <f t="shared" si="3"/>
        <v>124</v>
      </c>
      <c r="G139" s="135" t="s">
        <v>145</v>
      </c>
      <c r="H139" s="31">
        <v>25000</v>
      </c>
      <c r="I139" s="31">
        <v>25000</v>
      </c>
      <c r="J139" s="25">
        <v>0</v>
      </c>
      <c r="K139" s="336">
        <f t="shared" si="5"/>
        <v>0</v>
      </c>
    </row>
    <row r="140" spans="1:11" ht="15">
      <c r="A140" s="36"/>
      <c r="B140" s="91"/>
      <c r="C140" s="91"/>
      <c r="D140" s="34"/>
      <c r="E140" s="34"/>
      <c r="F140" s="26">
        <f t="shared" si="3"/>
        <v>125</v>
      </c>
      <c r="G140" s="135" t="s">
        <v>146</v>
      </c>
      <c r="H140" s="31">
        <v>2600000</v>
      </c>
      <c r="I140" s="31">
        <f>2600000+0-73500+0-226500-120000-51200</f>
        <v>2128800</v>
      </c>
      <c r="J140" s="25">
        <v>2128751.69</v>
      </c>
      <c r="K140" s="336">
        <f t="shared" si="5"/>
        <v>99.99773064637354</v>
      </c>
    </row>
    <row r="141" spans="1:11" ht="15">
      <c r="A141" s="36"/>
      <c r="B141" s="91"/>
      <c r="C141" s="91"/>
      <c r="D141" s="34"/>
      <c r="E141" s="34"/>
      <c r="F141" s="26">
        <f t="shared" si="3"/>
        <v>126</v>
      </c>
      <c r="G141" s="135" t="s">
        <v>147</v>
      </c>
      <c r="H141" s="31">
        <v>1000000</v>
      </c>
      <c r="I141" s="31">
        <v>2436700</v>
      </c>
      <c r="J141" s="25">
        <v>2436615.12</v>
      </c>
      <c r="K141" s="336">
        <f t="shared" si="5"/>
        <v>99.9965166003201</v>
      </c>
    </row>
    <row r="142" spans="1:11" ht="15">
      <c r="A142" s="36"/>
      <c r="B142" s="91"/>
      <c r="C142" s="91"/>
      <c r="D142" s="34"/>
      <c r="E142" s="34"/>
      <c r="F142" s="26">
        <f t="shared" si="3"/>
        <v>127</v>
      </c>
      <c r="G142" s="135" t="s">
        <v>148</v>
      </c>
      <c r="H142" s="31">
        <v>25000</v>
      </c>
      <c r="I142" s="31">
        <f>25000+0+0+0+200000+0+0+62100</f>
        <v>287100</v>
      </c>
      <c r="J142" s="25">
        <v>287087.8</v>
      </c>
      <c r="K142" s="336">
        <f t="shared" si="5"/>
        <v>99.9957506095437</v>
      </c>
    </row>
    <row r="143" spans="1:11" ht="15">
      <c r="A143" s="36"/>
      <c r="B143" s="91"/>
      <c r="C143" s="91"/>
      <c r="D143" s="34"/>
      <c r="E143" s="34"/>
      <c r="F143" s="26">
        <f t="shared" si="3"/>
        <v>128</v>
      </c>
      <c r="G143" s="135" t="s">
        <v>149</v>
      </c>
      <c r="H143" s="31">
        <v>2000000</v>
      </c>
      <c r="I143" s="31">
        <f>2000000+0+0+615700+1084300+709000+0+1207000</f>
        <v>5616000</v>
      </c>
      <c r="J143" s="25">
        <v>5615957.16</v>
      </c>
      <c r="K143" s="336">
        <f>J143/I143*100</f>
        <v>99.99923717948718</v>
      </c>
    </row>
    <row r="144" spans="1:11" ht="15">
      <c r="A144" s="36"/>
      <c r="B144" s="91"/>
      <c r="C144" s="91"/>
      <c r="D144" s="34"/>
      <c r="E144" s="34"/>
      <c r="F144" s="26">
        <f t="shared" si="3"/>
        <v>129</v>
      </c>
      <c r="G144" s="135" t="s">
        <v>150</v>
      </c>
      <c r="H144" s="31">
        <v>850000</v>
      </c>
      <c r="I144" s="31">
        <f>850000+0+0+0-800000</f>
        <v>50000</v>
      </c>
      <c r="J144" s="25">
        <v>19700</v>
      </c>
      <c r="K144" s="336">
        <f>J144/I144*100</f>
        <v>39.4</v>
      </c>
    </row>
    <row r="145" spans="1:11" ht="15">
      <c r="A145" s="36"/>
      <c r="B145" s="91"/>
      <c r="C145" s="91"/>
      <c r="D145" s="34"/>
      <c r="E145" s="34"/>
      <c r="F145" s="26">
        <f t="shared" si="3"/>
        <v>130</v>
      </c>
      <c r="G145" s="135" t="s">
        <v>151</v>
      </c>
      <c r="H145" s="31">
        <v>700000</v>
      </c>
      <c r="I145" s="31">
        <f>700000-500000</f>
        <v>200000</v>
      </c>
      <c r="J145" s="25">
        <v>0</v>
      </c>
      <c r="K145" s="336">
        <f t="shared" si="5"/>
        <v>0</v>
      </c>
    </row>
    <row r="146" spans="1:11" ht="15">
      <c r="A146" s="36"/>
      <c r="B146" s="91"/>
      <c r="C146" s="91"/>
      <c r="D146" s="34"/>
      <c r="E146" s="34"/>
      <c r="F146" s="26">
        <f t="shared" si="3"/>
        <v>131</v>
      </c>
      <c r="G146" s="135" t="s">
        <v>152</v>
      </c>
      <c r="H146" s="31">
        <v>2570000</v>
      </c>
      <c r="I146" s="31">
        <v>12300</v>
      </c>
      <c r="J146" s="25"/>
      <c r="K146" s="336">
        <f t="shared" si="5"/>
        <v>0</v>
      </c>
    </row>
    <row r="147" spans="1:11" ht="15">
      <c r="A147" s="36"/>
      <c r="B147" s="91"/>
      <c r="C147" s="91"/>
      <c r="D147" s="34"/>
      <c r="E147" s="34"/>
      <c r="F147" s="26">
        <f t="shared" si="3"/>
        <v>132</v>
      </c>
      <c r="G147" s="136" t="s">
        <v>153</v>
      </c>
      <c r="H147" s="137">
        <v>0</v>
      </c>
      <c r="I147" s="137">
        <v>2678800</v>
      </c>
      <c r="J147" s="40">
        <v>2678702.29</v>
      </c>
      <c r="K147" s="343">
        <f t="shared" si="5"/>
        <v>99.99635247125579</v>
      </c>
    </row>
    <row r="148" spans="1:11" ht="15">
      <c r="A148" s="36"/>
      <c r="B148" s="91"/>
      <c r="C148" s="91"/>
      <c r="D148" s="34"/>
      <c r="E148" s="34"/>
      <c r="F148" s="26">
        <f aca="true" t="shared" si="6" ref="F148:F211">F147+1</f>
        <v>133</v>
      </c>
      <c r="G148" s="135" t="s">
        <v>154</v>
      </c>
      <c r="H148" s="31">
        <v>0</v>
      </c>
      <c r="I148" s="31">
        <f>400000+0+0+0+100000+80000</f>
        <v>580000</v>
      </c>
      <c r="J148" s="25">
        <v>497237.36</v>
      </c>
      <c r="K148" s="336">
        <f t="shared" si="5"/>
        <v>85.73057931034482</v>
      </c>
    </row>
    <row r="149" spans="1:11" ht="15">
      <c r="A149" s="36"/>
      <c r="B149" s="91"/>
      <c r="C149" s="91"/>
      <c r="D149" s="34"/>
      <c r="E149" s="34"/>
      <c r="F149" s="26">
        <f t="shared" si="6"/>
        <v>134</v>
      </c>
      <c r="G149" s="135" t="s">
        <v>1083</v>
      </c>
      <c r="H149" s="31"/>
      <c r="I149" s="31">
        <v>91200</v>
      </c>
      <c r="J149" s="25">
        <v>0</v>
      </c>
      <c r="K149" s="336">
        <f t="shared" si="5"/>
        <v>0</v>
      </c>
    </row>
    <row r="150" spans="1:11" ht="15">
      <c r="A150" s="36"/>
      <c r="B150" s="91"/>
      <c r="C150" s="91"/>
      <c r="D150" s="34"/>
      <c r="E150" s="34"/>
      <c r="F150" s="26">
        <f t="shared" si="6"/>
        <v>135</v>
      </c>
      <c r="G150" s="135" t="s">
        <v>155</v>
      </c>
      <c r="H150" s="31">
        <v>0</v>
      </c>
      <c r="I150" s="31">
        <f>0+0+0+0+450000-350000</f>
        <v>100000</v>
      </c>
      <c r="J150" s="25">
        <v>4200</v>
      </c>
      <c r="K150" s="336">
        <f t="shared" si="5"/>
        <v>4.2</v>
      </c>
    </row>
    <row r="151" spans="1:11" ht="15">
      <c r="A151" s="36"/>
      <c r="B151" s="91"/>
      <c r="C151" s="91"/>
      <c r="D151" s="34"/>
      <c r="E151" s="34"/>
      <c r="F151" s="26">
        <f t="shared" si="6"/>
        <v>136</v>
      </c>
      <c r="G151" s="135" t="s">
        <v>156</v>
      </c>
      <c r="H151" s="31">
        <v>0</v>
      </c>
      <c r="I151" s="31">
        <f>0+0+0+0+40000</f>
        <v>40000</v>
      </c>
      <c r="J151" s="25">
        <v>20812</v>
      </c>
      <c r="K151" s="336">
        <f t="shared" si="5"/>
        <v>52.03</v>
      </c>
    </row>
    <row r="152" spans="1:11" ht="15">
      <c r="A152" s="36"/>
      <c r="B152" s="91"/>
      <c r="C152" s="91"/>
      <c r="D152" s="34"/>
      <c r="E152" s="34"/>
      <c r="F152" s="26">
        <f t="shared" si="6"/>
        <v>137</v>
      </c>
      <c r="G152" s="135" t="s">
        <v>157</v>
      </c>
      <c r="H152" s="31">
        <v>0</v>
      </c>
      <c r="I152" s="31">
        <f>0+0+0+0+0+0+0+15300</f>
        <v>15300</v>
      </c>
      <c r="J152" s="25">
        <v>15246</v>
      </c>
      <c r="K152" s="336">
        <f t="shared" si="5"/>
        <v>99.6470588235294</v>
      </c>
    </row>
    <row r="153" spans="1:11" ht="15">
      <c r="A153" s="36"/>
      <c r="B153" s="91"/>
      <c r="C153" s="91"/>
      <c r="D153" s="34"/>
      <c r="E153" s="34"/>
      <c r="F153" s="26">
        <f t="shared" si="6"/>
        <v>138</v>
      </c>
      <c r="G153" s="135" t="s">
        <v>158</v>
      </c>
      <c r="H153" s="31">
        <v>3000000</v>
      </c>
      <c r="I153" s="31">
        <f>3000000+0+0-615700-1384300-600000+0-25500</f>
        <v>374500</v>
      </c>
      <c r="J153" s="25">
        <v>374402.59</v>
      </c>
      <c r="K153" s="336">
        <f t="shared" si="5"/>
        <v>99.97398931909213</v>
      </c>
    </row>
    <row r="154" spans="1:11" ht="15">
      <c r="A154" s="36"/>
      <c r="B154" s="91"/>
      <c r="C154" s="91"/>
      <c r="D154" s="34"/>
      <c r="E154" s="34"/>
      <c r="F154" s="26">
        <f t="shared" si="6"/>
        <v>139</v>
      </c>
      <c r="G154" s="135" t="s">
        <v>159</v>
      </c>
      <c r="H154" s="31">
        <v>0</v>
      </c>
      <c r="I154" s="31">
        <f>0+0+0+0+0+0+0+86400</f>
        <v>86400</v>
      </c>
      <c r="J154" s="25">
        <v>86394</v>
      </c>
      <c r="K154" s="336">
        <f t="shared" si="5"/>
        <v>99.99305555555556</v>
      </c>
    </row>
    <row r="155" spans="1:11" ht="15">
      <c r="A155" s="36"/>
      <c r="B155" s="91"/>
      <c r="C155" s="91"/>
      <c r="D155" s="34"/>
      <c r="E155" s="34"/>
      <c r="F155" s="26">
        <f t="shared" si="6"/>
        <v>140</v>
      </c>
      <c r="G155" s="135" t="s">
        <v>160</v>
      </c>
      <c r="H155" s="31">
        <v>2000000</v>
      </c>
      <c r="I155" s="31">
        <f>2000000+0+0+0+500000-109000+0-269300</f>
        <v>2121700</v>
      </c>
      <c r="J155" s="25">
        <v>2121614.67</v>
      </c>
      <c r="K155" s="336">
        <f t="shared" si="5"/>
        <v>99.99597822500824</v>
      </c>
    </row>
    <row r="156" spans="1:11" ht="15">
      <c r="A156" s="36"/>
      <c r="B156" s="91"/>
      <c r="C156" s="91"/>
      <c r="D156" s="34"/>
      <c r="E156" s="34"/>
      <c r="F156" s="26">
        <f t="shared" si="6"/>
        <v>141</v>
      </c>
      <c r="G156" s="135" t="s">
        <v>161</v>
      </c>
      <c r="H156" s="31">
        <v>0</v>
      </c>
      <c r="I156" s="31">
        <v>234900</v>
      </c>
      <c r="J156" s="25">
        <v>234835.5</v>
      </c>
      <c r="K156" s="336">
        <f t="shared" si="5"/>
        <v>99.97254150702427</v>
      </c>
    </row>
    <row r="157" spans="1:11" ht="15">
      <c r="A157" s="36"/>
      <c r="B157" s="91"/>
      <c r="C157" s="91"/>
      <c r="D157" s="34"/>
      <c r="E157" s="34"/>
      <c r="F157" s="26">
        <f t="shared" si="6"/>
        <v>142</v>
      </c>
      <c r="G157" s="94"/>
      <c r="H157" s="138"/>
      <c r="I157" s="138"/>
      <c r="J157" s="130"/>
      <c r="K157" s="344"/>
    </row>
    <row r="158" spans="1:11" ht="15">
      <c r="A158" s="125" t="s">
        <v>162</v>
      </c>
      <c r="B158" s="126">
        <f>SUM(B159:B160)</f>
        <v>5000</v>
      </c>
      <c r="C158" s="126">
        <f>SUM(C159:C160)</f>
        <v>15000</v>
      </c>
      <c r="D158" s="127">
        <f>SUM(D159:D160)</f>
        <v>10178</v>
      </c>
      <c r="E158" s="63">
        <f>D158/C158*100</f>
        <v>67.85333333333334</v>
      </c>
      <c r="F158" s="26">
        <f t="shared" si="6"/>
        <v>143</v>
      </c>
      <c r="G158" s="68" t="s">
        <v>162</v>
      </c>
      <c r="H158" s="126">
        <f>SUM(H159:H170)</f>
        <v>4295000</v>
      </c>
      <c r="I158" s="126">
        <f>SUM(I159:I170)</f>
        <v>2550600</v>
      </c>
      <c r="J158" s="127">
        <f>SUM(J159:J170)</f>
        <v>1893321.01</v>
      </c>
      <c r="K158" s="216">
        <f aca="true" t="shared" si="7" ref="K158:K165">J158/I158*100</f>
        <v>74.23041676468281</v>
      </c>
    </row>
    <row r="159" spans="1:11" ht="15">
      <c r="A159" s="140" t="s">
        <v>163</v>
      </c>
      <c r="B159" s="23">
        <v>5000</v>
      </c>
      <c r="C159" s="23">
        <f>5000+0+0+0+0+0+5000+5000</f>
        <v>15000</v>
      </c>
      <c r="D159" s="25">
        <v>10178</v>
      </c>
      <c r="E159" s="24">
        <f>D159/C159*100</f>
        <v>67.85333333333334</v>
      </c>
      <c r="F159" s="26">
        <f t="shared" si="6"/>
        <v>144</v>
      </c>
      <c r="G159" s="77" t="s">
        <v>164</v>
      </c>
      <c r="H159" s="31">
        <v>500000</v>
      </c>
      <c r="I159" s="31">
        <f>500000-215000</f>
        <v>285000</v>
      </c>
      <c r="J159" s="25">
        <v>46847.5</v>
      </c>
      <c r="K159" s="336">
        <f t="shared" si="7"/>
        <v>16.437719298245614</v>
      </c>
    </row>
    <row r="160" spans="1:11" ht="15">
      <c r="A160" s="97"/>
      <c r="B160" s="138"/>
      <c r="C160" s="138"/>
      <c r="D160" s="130"/>
      <c r="E160" s="139"/>
      <c r="F160" s="26">
        <f t="shared" si="6"/>
        <v>145</v>
      </c>
      <c r="G160" s="77" t="s">
        <v>165</v>
      </c>
      <c r="H160" s="31">
        <v>50000</v>
      </c>
      <c r="I160" s="31">
        <v>50000</v>
      </c>
      <c r="J160" s="25">
        <v>0</v>
      </c>
      <c r="K160" s="336">
        <f t="shared" si="7"/>
        <v>0</v>
      </c>
    </row>
    <row r="161" spans="1:11" ht="15">
      <c r="A161" s="36"/>
      <c r="B161" s="91"/>
      <c r="C161" s="91"/>
      <c r="D161" s="34"/>
      <c r="E161" s="34"/>
      <c r="F161" s="26">
        <f t="shared" si="6"/>
        <v>146</v>
      </c>
      <c r="G161" s="135" t="s">
        <v>166</v>
      </c>
      <c r="H161" s="31">
        <v>500000</v>
      </c>
      <c r="I161" s="31">
        <f>500000+0+0+0+0+0+0-10000</f>
        <v>490000</v>
      </c>
      <c r="J161" s="25">
        <v>417819.51</v>
      </c>
      <c r="K161" s="336">
        <f t="shared" si="7"/>
        <v>85.26928775510204</v>
      </c>
    </row>
    <row r="162" spans="1:11" ht="15">
      <c r="A162" s="36"/>
      <c r="B162" s="91"/>
      <c r="C162" s="91"/>
      <c r="D162" s="34"/>
      <c r="E162" s="34"/>
      <c r="F162" s="26">
        <f t="shared" si="6"/>
        <v>147</v>
      </c>
      <c r="G162" s="135" t="s">
        <v>167</v>
      </c>
      <c r="H162" s="31">
        <v>50000</v>
      </c>
      <c r="I162" s="31">
        <v>50000</v>
      </c>
      <c r="J162" s="25">
        <v>0</v>
      </c>
      <c r="K162" s="336">
        <f>J162/I162*100</f>
        <v>0</v>
      </c>
    </row>
    <row r="163" spans="1:11" ht="15">
      <c r="A163" s="36"/>
      <c r="B163" s="91"/>
      <c r="C163" s="91"/>
      <c r="D163" s="34"/>
      <c r="E163" s="34"/>
      <c r="F163" s="26">
        <f t="shared" si="6"/>
        <v>148</v>
      </c>
      <c r="G163" s="135" t="s">
        <v>168</v>
      </c>
      <c r="H163" s="31">
        <v>1200000</v>
      </c>
      <c r="I163" s="31">
        <f>1200000+0+0+0-50000-27000</f>
        <v>1123000</v>
      </c>
      <c r="J163" s="25">
        <v>1122936</v>
      </c>
      <c r="K163" s="336">
        <f>J163/I163*100</f>
        <v>99.99430097951915</v>
      </c>
    </row>
    <row r="164" spans="1:11" ht="15">
      <c r="A164" s="36"/>
      <c r="B164" s="91"/>
      <c r="C164" s="91"/>
      <c r="D164" s="34"/>
      <c r="E164" s="34"/>
      <c r="F164" s="26">
        <f t="shared" si="6"/>
        <v>149</v>
      </c>
      <c r="G164" s="135" t="s">
        <v>169</v>
      </c>
      <c r="H164" s="31">
        <v>5000</v>
      </c>
      <c r="I164" s="31">
        <f>5000+0+0+0+0+0+0+10000</f>
        <v>15000</v>
      </c>
      <c r="J164" s="25">
        <v>9730</v>
      </c>
      <c r="K164" s="336">
        <f t="shared" si="7"/>
        <v>64.86666666666666</v>
      </c>
    </row>
    <row r="165" spans="1:11" ht="15">
      <c r="A165" s="36"/>
      <c r="B165" s="91"/>
      <c r="C165" s="91"/>
      <c r="D165" s="34"/>
      <c r="E165" s="34"/>
      <c r="F165" s="26">
        <f t="shared" si="6"/>
        <v>150</v>
      </c>
      <c r="G165" s="135" t="s">
        <v>170</v>
      </c>
      <c r="H165" s="31">
        <v>40000</v>
      </c>
      <c r="I165" s="31">
        <v>40000</v>
      </c>
      <c r="J165" s="25">
        <v>0</v>
      </c>
      <c r="K165" s="336">
        <f t="shared" si="7"/>
        <v>0</v>
      </c>
    </row>
    <row r="166" spans="1:11" ht="15">
      <c r="A166" s="36"/>
      <c r="B166" s="91"/>
      <c r="C166" s="91"/>
      <c r="D166" s="34"/>
      <c r="E166" s="34"/>
      <c r="F166" s="26">
        <f t="shared" si="6"/>
        <v>151</v>
      </c>
      <c r="G166" s="135" t="s">
        <v>171</v>
      </c>
      <c r="H166" s="31">
        <v>600000</v>
      </c>
      <c r="I166" s="31">
        <f>600000+0+0+0-600000</f>
        <v>0</v>
      </c>
      <c r="J166" s="25">
        <v>0</v>
      </c>
      <c r="K166" s="336" t="e">
        <f>J166/I166*100</f>
        <v>#DIV/0!</v>
      </c>
    </row>
    <row r="167" spans="1:11" ht="15">
      <c r="A167" s="36"/>
      <c r="B167" s="91"/>
      <c r="C167" s="91"/>
      <c r="D167" s="34"/>
      <c r="E167" s="34"/>
      <c r="F167" s="26">
        <f t="shared" si="6"/>
        <v>152</v>
      </c>
      <c r="G167" s="135" t="s">
        <v>172</v>
      </c>
      <c r="H167" s="31">
        <v>600000</v>
      </c>
      <c r="I167" s="31">
        <f>600000+0+0+0-300000-250000+75300</f>
        <v>125300</v>
      </c>
      <c r="J167" s="25">
        <v>75288</v>
      </c>
      <c r="K167" s="336">
        <f>J167/I167*100</f>
        <v>60.08619313647247</v>
      </c>
    </row>
    <row r="168" spans="1:11" ht="15">
      <c r="A168" s="36"/>
      <c r="B168" s="91"/>
      <c r="C168" s="91"/>
      <c r="D168" s="34"/>
      <c r="E168" s="34"/>
      <c r="F168" s="26">
        <f t="shared" si="6"/>
        <v>153</v>
      </c>
      <c r="G168" s="135" t="s">
        <v>173</v>
      </c>
      <c r="H168" s="31">
        <v>150000</v>
      </c>
      <c r="I168" s="31">
        <f>150000-110000</f>
        <v>40000</v>
      </c>
      <c r="J168" s="25">
        <v>24700</v>
      </c>
      <c r="K168" s="336">
        <f>J168/I168*100</f>
        <v>61.75000000000001</v>
      </c>
    </row>
    <row r="169" spans="1:11" ht="15">
      <c r="A169" s="36"/>
      <c r="B169" s="91"/>
      <c r="C169" s="91"/>
      <c r="D169" s="34"/>
      <c r="E169" s="34"/>
      <c r="F169" s="26">
        <f t="shared" si="6"/>
        <v>154</v>
      </c>
      <c r="G169" s="135" t="s">
        <v>174</v>
      </c>
      <c r="H169" s="23">
        <v>0</v>
      </c>
      <c r="I169" s="23">
        <f>0+0+7300</f>
        <v>7300</v>
      </c>
      <c r="J169" s="25">
        <v>0</v>
      </c>
      <c r="K169" s="342">
        <f>J169/I169*100</f>
        <v>0</v>
      </c>
    </row>
    <row r="170" spans="1:11" ht="15">
      <c r="A170" s="36"/>
      <c r="B170" s="91"/>
      <c r="C170" s="91"/>
      <c r="D170" s="34"/>
      <c r="E170" s="34"/>
      <c r="F170" s="26">
        <f t="shared" si="6"/>
        <v>155</v>
      </c>
      <c r="G170" s="135" t="s">
        <v>175</v>
      </c>
      <c r="H170" s="31">
        <v>600000</v>
      </c>
      <c r="I170" s="31">
        <f>600000+0+1524900+0-817900-382000-600000</f>
        <v>325000</v>
      </c>
      <c r="J170" s="25">
        <v>196000</v>
      </c>
      <c r="K170" s="336">
        <f>J170/I170*100</f>
        <v>60.30769230769231</v>
      </c>
    </row>
    <row r="171" spans="1:11" ht="15">
      <c r="A171" s="36"/>
      <c r="B171" s="91"/>
      <c r="C171" s="91"/>
      <c r="D171" s="34"/>
      <c r="E171" s="34"/>
      <c r="F171" s="26">
        <f t="shared" si="6"/>
        <v>156</v>
      </c>
      <c r="G171" s="77"/>
      <c r="H171" s="138"/>
      <c r="I171" s="138"/>
      <c r="J171" s="130"/>
      <c r="K171" s="344"/>
    </row>
    <row r="172" spans="1:11" ht="15">
      <c r="A172" s="141"/>
      <c r="B172" s="142"/>
      <c r="C172" s="142"/>
      <c r="D172" s="143"/>
      <c r="E172" s="327"/>
      <c r="F172" s="26">
        <f t="shared" si="6"/>
        <v>157</v>
      </c>
      <c r="G172" s="68" t="s">
        <v>176</v>
      </c>
      <c r="H172" s="69">
        <f>SUM(H173:H177)</f>
        <v>735600</v>
      </c>
      <c r="I172" s="69">
        <f>SUM(I173:I177)</f>
        <v>385600</v>
      </c>
      <c r="J172" s="70">
        <f>SUM(J173:J177)</f>
        <v>258650</v>
      </c>
      <c r="K172" s="216">
        <f aca="true" t="shared" si="8" ref="K172:K177">J172/I172*100</f>
        <v>67.07728215767634</v>
      </c>
    </row>
    <row r="173" spans="1:11" ht="15">
      <c r="A173" s="36"/>
      <c r="B173" s="91"/>
      <c r="C173" s="91"/>
      <c r="D173" s="34"/>
      <c r="E173" s="323"/>
      <c r="F173" s="26">
        <f t="shared" si="6"/>
        <v>158</v>
      </c>
      <c r="G173" s="77" t="s">
        <v>177</v>
      </c>
      <c r="H173" s="31">
        <v>50000</v>
      </c>
      <c r="I173" s="31">
        <f>50000+0+0+0+0+0-19500</f>
        <v>30500</v>
      </c>
      <c r="J173" s="25">
        <v>0</v>
      </c>
      <c r="K173" s="336">
        <f t="shared" si="8"/>
        <v>0</v>
      </c>
    </row>
    <row r="174" spans="1:11" ht="15">
      <c r="A174" s="36"/>
      <c r="B174" s="91"/>
      <c r="C174" s="91"/>
      <c r="D174" s="34"/>
      <c r="E174" s="34"/>
      <c r="F174" s="26">
        <f t="shared" si="6"/>
        <v>159</v>
      </c>
      <c r="G174" s="77" t="s">
        <v>178</v>
      </c>
      <c r="H174" s="31">
        <v>235600</v>
      </c>
      <c r="I174" s="31">
        <v>235600</v>
      </c>
      <c r="J174" s="25">
        <v>235550</v>
      </c>
      <c r="K174" s="336">
        <f t="shared" si="8"/>
        <v>99.97877758913413</v>
      </c>
    </row>
    <row r="175" spans="1:11" ht="15">
      <c r="A175" s="36"/>
      <c r="B175" s="91"/>
      <c r="C175" s="91"/>
      <c r="D175" s="34"/>
      <c r="E175" s="34"/>
      <c r="F175" s="26">
        <f t="shared" si="6"/>
        <v>160</v>
      </c>
      <c r="G175" s="77" t="s">
        <v>179</v>
      </c>
      <c r="H175" s="31">
        <v>0</v>
      </c>
      <c r="I175" s="31">
        <f>0+0+0+0+0+0+19500</f>
        <v>19500</v>
      </c>
      <c r="J175" s="25">
        <v>19500</v>
      </c>
      <c r="K175" s="336">
        <f t="shared" si="8"/>
        <v>100</v>
      </c>
    </row>
    <row r="176" spans="1:11" ht="15">
      <c r="A176" s="36"/>
      <c r="B176" s="91"/>
      <c r="C176" s="91"/>
      <c r="D176" s="34"/>
      <c r="E176" s="34"/>
      <c r="F176" s="26">
        <f t="shared" si="6"/>
        <v>161</v>
      </c>
      <c r="G176" s="77" t="s">
        <v>180</v>
      </c>
      <c r="H176" s="31">
        <v>50000</v>
      </c>
      <c r="I176" s="31">
        <v>50000</v>
      </c>
      <c r="J176" s="25">
        <v>3600</v>
      </c>
      <c r="K176" s="336">
        <f t="shared" si="8"/>
        <v>7.199999999999999</v>
      </c>
    </row>
    <row r="177" spans="1:11" ht="15">
      <c r="A177" s="36"/>
      <c r="B177" s="91"/>
      <c r="C177" s="91"/>
      <c r="D177" s="34"/>
      <c r="E177" s="34"/>
      <c r="F177" s="26">
        <f t="shared" si="6"/>
        <v>162</v>
      </c>
      <c r="G177" s="77" t="s">
        <v>181</v>
      </c>
      <c r="H177" s="31">
        <v>400000</v>
      </c>
      <c r="I177" s="31">
        <f>400000+0+0+0-150000-200000</f>
        <v>50000</v>
      </c>
      <c r="J177" s="25">
        <v>0</v>
      </c>
      <c r="K177" s="336">
        <f t="shared" si="8"/>
        <v>0</v>
      </c>
    </row>
    <row r="178" spans="1:11" ht="15">
      <c r="A178" s="36"/>
      <c r="B178" s="91"/>
      <c r="C178" s="91"/>
      <c r="D178" s="34"/>
      <c r="E178" s="34"/>
      <c r="F178" s="26">
        <f t="shared" si="6"/>
        <v>163</v>
      </c>
      <c r="G178" s="77"/>
      <c r="H178" s="78"/>
      <c r="I178" s="78"/>
      <c r="J178" s="79"/>
      <c r="K178" s="337"/>
    </row>
    <row r="179" spans="1:11" ht="15">
      <c r="A179" s="36"/>
      <c r="B179" s="144"/>
      <c r="C179" s="144"/>
      <c r="D179" s="91"/>
      <c r="E179" s="91"/>
      <c r="F179" s="26">
        <f t="shared" si="6"/>
        <v>164</v>
      </c>
      <c r="G179" s="68" t="s">
        <v>182</v>
      </c>
      <c r="H179" s="126">
        <f>SUM(H180:H186)</f>
        <v>755000</v>
      </c>
      <c r="I179" s="126">
        <f>SUM(I180:I186)</f>
        <v>405000</v>
      </c>
      <c r="J179" s="127">
        <f>SUM(J180:J186)</f>
        <v>188164.9</v>
      </c>
      <c r="K179" s="216">
        <f aca="true" t="shared" si="9" ref="K179:K186">J179/I179*100</f>
        <v>46.46046913580247</v>
      </c>
    </row>
    <row r="180" spans="1:11" ht="15">
      <c r="A180" s="36"/>
      <c r="B180" s="144"/>
      <c r="C180" s="144"/>
      <c r="D180" s="91"/>
      <c r="E180" s="91"/>
      <c r="F180" s="26">
        <f t="shared" si="6"/>
        <v>165</v>
      </c>
      <c r="G180" s="128" t="s">
        <v>183</v>
      </c>
      <c r="H180" s="31">
        <v>30000</v>
      </c>
      <c r="I180" s="31">
        <f>26000+0+0-2700+0-6600</f>
        <v>16700</v>
      </c>
      <c r="J180" s="24">
        <v>0</v>
      </c>
      <c r="K180" s="336">
        <f t="shared" si="9"/>
        <v>0</v>
      </c>
    </row>
    <row r="181" spans="1:11" ht="15">
      <c r="A181" s="36"/>
      <c r="B181" s="144"/>
      <c r="C181" s="144"/>
      <c r="D181" s="91"/>
      <c r="E181" s="91"/>
      <c r="F181" s="26">
        <f t="shared" si="6"/>
        <v>166</v>
      </c>
      <c r="G181" s="77" t="s">
        <v>184</v>
      </c>
      <c r="H181" s="31">
        <v>450000</v>
      </c>
      <c r="I181" s="31">
        <f>450000-150000+0+0+0+0+0+0+0+0+0+0+0+0-100000</f>
        <v>200000</v>
      </c>
      <c r="J181" s="25">
        <v>144109.8</v>
      </c>
      <c r="K181" s="336">
        <f t="shared" si="9"/>
        <v>72.0549</v>
      </c>
    </row>
    <row r="182" spans="1:11" ht="15">
      <c r="A182" s="36"/>
      <c r="B182" s="91"/>
      <c r="C182" s="91"/>
      <c r="D182" s="34"/>
      <c r="E182" s="34"/>
      <c r="F182" s="26">
        <f t="shared" si="6"/>
        <v>167</v>
      </c>
      <c r="G182" s="77" t="s">
        <v>185</v>
      </c>
      <c r="H182" s="31">
        <v>5000</v>
      </c>
      <c r="I182" s="31">
        <v>5000</v>
      </c>
      <c r="J182" s="25">
        <v>1563</v>
      </c>
      <c r="K182" s="336">
        <f t="shared" si="9"/>
        <v>31.259999999999998</v>
      </c>
    </row>
    <row r="183" spans="1:11" ht="15">
      <c r="A183" s="36"/>
      <c r="B183" s="91"/>
      <c r="C183" s="91"/>
      <c r="D183" s="34"/>
      <c r="E183" s="34"/>
      <c r="F183" s="26">
        <f t="shared" si="6"/>
        <v>168</v>
      </c>
      <c r="G183" s="77" t="s">
        <v>186</v>
      </c>
      <c r="H183" s="31">
        <v>70000</v>
      </c>
      <c r="I183" s="31">
        <v>70000</v>
      </c>
      <c r="J183" s="25">
        <v>7249.1</v>
      </c>
      <c r="K183" s="336">
        <f t="shared" si="9"/>
        <v>10.355857142857143</v>
      </c>
    </row>
    <row r="184" spans="1:11" ht="15">
      <c r="A184" s="36"/>
      <c r="B184" s="91"/>
      <c r="C184" s="91"/>
      <c r="D184" s="34"/>
      <c r="E184" s="34"/>
      <c r="F184" s="26">
        <f t="shared" si="6"/>
        <v>169</v>
      </c>
      <c r="G184" s="77" t="s">
        <v>187</v>
      </c>
      <c r="H184" s="31">
        <v>200000</v>
      </c>
      <c r="I184" s="31">
        <f>200000-100000</f>
        <v>100000</v>
      </c>
      <c r="J184" s="25">
        <v>22022</v>
      </c>
      <c r="K184" s="336">
        <f>J184/I184*100</f>
        <v>22.022</v>
      </c>
    </row>
    <row r="185" spans="1:11" ht="15">
      <c r="A185" s="36"/>
      <c r="B185" s="91"/>
      <c r="C185" s="91"/>
      <c r="D185" s="34"/>
      <c r="E185" s="34"/>
      <c r="F185" s="26">
        <f t="shared" si="6"/>
        <v>170</v>
      </c>
      <c r="G185" s="77" t="s">
        <v>188</v>
      </c>
      <c r="H185" s="31">
        <v>0</v>
      </c>
      <c r="I185" s="31">
        <f>0+4000+0+0+0+6600</f>
        <v>10600</v>
      </c>
      <c r="J185" s="25">
        <v>10556</v>
      </c>
      <c r="K185" s="336">
        <f>J185/I185*100</f>
        <v>99.58490566037736</v>
      </c>
    </row>
    <row r="186" spans="1:11" ht="15">
      <c r="A186" s="36"/>
      <c r="B186" s="91"/>
      <c r="C186" s="91"/>
      <c r="D186" s="34"/>
      <c r="E186" s="34"/>
      <c r="F186" s="26">
        <f t="shared" si="6"/>
        <v>171</v>
      </c>
      <c r="G186" s="77" t="s">
        <v>189</v>
      </c>
      <c r="H186" s="31">
        <v>0</v>
      </c>
      <c r="I186" s="31">
        <f>0+0+0+2700</f>
        <v>2700</v>
      </c>
      <c r="J186" s="25">
        <v>2665</v>
      </c>
      <c r="K186" s="336">
        <f t="shared" si="9"/>
        <v>98.70370370370371</v>
      </c>
    </row>
    <row r="187" spans="1:11" ht="15">
      <c r="A187" s="36"/>
      <c r="B187" s="91"/>
      <c r="C187" s="91"/>
      <c r="D187" s="34"/>
      <c r="E187" s="34"/>
      <c r="F187" s="26">
        <f t="shared" si="6"/>
        <v>172</v>
      </c>
      <c r="G187" s="94"/>
      <c r="H187" s="78"/>
      <c r="I187" s="78"/>
      <c r="J187" s="79"/>
      <c r="K187" s="337"/>
    </row>
    <row r="188" spans="1:11" ht="15">
      <c r="A188" s="92" t="s">
        <v>190</v>
      </c>
      <c r="B188" s="87">
        <f>SUM(B189:B190)</f>
        <v>339000</v>
      </c>
      <c r="C188" s="87">
        <f>SUM(C189:C190)</f>
        <v>339000</v>
      </c>
      <c r="D188" s="93">
        <f>SUM(D189:D190)</f>
        <v>280416</v>
      </c>
      <c r="E188" s="93">
        <f>D188/C188*100</f>
        <v>82.71858407079647</v>
      </c>
      <c r="F188" s="26">
        <f t="shared" si="6"/>
        <v>173</v>
      </c>
      <c r="G188" s="68" t="s">
        <v>190</v>
      </c>
      <c r="H188" s="69">
        <f>SUM(H189:H198)</f>
        <v>1833000</v>
      </c>
      <c r="I188" s="69">
        <f>SUM(I189:I198)</f>
        <v>995000</v>
      </c>
      <c r="J188" s="70">
        <f>SUM(J189:J198)</f>
        <v>766162.87</v>
      </c>
      <c r="K188" s="216">
        <f>J188/I188*100</f>
        <v>77.00129346733668</v>
      </c>
    </row>
    <row r="189" spans="1:11" ht="15">
      <c r="A189" s="135" t="s">
        <v>191</v>
      </c>
      <c r="B189" s="95">
        <v>60000</v>
      </c>
      <c r="C189" s="95">
        <v>60000</v>
      </c>
      <c r="D189" s="73">
        <v>23481</v>
      </c>
      <c r="E189" s="73">
        <f>D189/C189*100</f>
        <v>39.135</v>
      </c>
      <c r="F189" s="26">
        <f t="shared" si="6"/>
        <v>174</v>
      </c>
      <c r="G189" s="77" t="s">
        <v>192</v>
      </c>
      <c r="H189" s="31">
        <v>20000</v>
      </c>
      <c r="I189" s="31">
        <v>20000</v>
      </c>
      <c r="J189" s="24">
        <v>3000</v>
      </c>
      <c r="K189" s="336">
        <f>J189/I189*100</f>
        <v>15</v>
      </c>
    </row>
    <row r="190" spans="1:11" ht="15">
      <c r="A190" s="135" t="s">
        <v>193</v>
      </c>
      <c r="B190" s="95">
        <v>279000</v>
      </c>
      <c r="C190" s="95">
        <v>279000</v>
      </c>
      <c r="D190" s="73">
        <v>256935</v>
      </c>
      <c r="E190" s="73">
        <f>D190/C190*100</f>
        <v>92.09139784946237</v>
      </c>
      <c r="F190" s="26">
        <f t="shared" si="6"/>
        <v>175</v>
      </c>
      <c r="G190" s="77" t="s">
        <v>194</v>
      </c>
      <c r="H190" s="31">
        <v>150000</v>
      </c>
      <c r="I190" s="31">
        <v>85900</v>
      </c>
      <c r="J190" s="25">
        <v>46821.1</v>
      </c>
      <c r="K190" s="336">
        <f>J190/I190*100</f>
        <v>54.506519208381846</v>
      </c>
    </row>
    <row r="191" spans="1:11" ht="15">
      <c r="A191" s="145"/>
      <c r="B191" s="104"/>
      <c r="C191" s="104"/>
      <c r="D191" s="106"/>
      <c r="E191" s="106"/>
      <c r="F191" s="26">
        <f t="shared" si="6"/>
        <v>176</v>
      </c>
      <c r="G191" s="68" t="s">
        <v>195</v>
      </c>
      <c r="H191" s="31"/>
      <c r="I191" s="31"/>
      <c r="J191" s="127"/>
      <c r="K191" s="336"/>
    </row>
    <row r="192" spans="1:11" ht="15">
      <c r="A192" s="36"/>
      <c r="B192" s="91"/>
      <c r="C192" s="91"/>
      <c r="D192" s="91"/>
      <c r="E192" s="91"/>
      <c r="F192" s="26">
        <f t="shared" si="6"/>
        <v>177</v>
      </c>
      <c r="G192" s="77" t="s">
        <v>196</v>
      </c>
      <c r="H192" s="31">
        <v>50000</v>
      </c>
      <c r="I192" s="31">
        <v>50000</v>
      </c>
      <c r="J192" s="25">
        <v>2449.9</v>
      </c>
      <c r="K192" s="336" t="e">
        <f>J191/I191*100</f>
        <v>#DIV/0!</v>
      </c>
    </row>
    <row r="193" spans="1:11" ht="15">
      <c r="A193" s="36"/>
      <c r="B193" s="91"/>
      <c r="C193" s="91"/>
      <c r="D193" s="34"/>
      <c r="E193" s="34"/>
      <c r="F193" s="26">
        <f t="shared" si="6"/>
        <v>178</v>
      </c>
      <c r="G193" s="77" t="s">
        <v>197</v>
      </c>
      <c r="H193" s="31">
        <v>200000</v>
      </c>
      <c r="I193" s="31">
        <f>200000+0+0+0-150000</f>
        <v>50000</v>
      </c>
      <c r="J193" s="25">
        <v>5314.32</v>
      </c>
      <c r="K193" s="336">
        <f aca="true" t="shared" si="10" ref="K193:K198">J192/I192*100</f>
        <v>4.8998</v>
      </c>
    </row>
    <row r="194" spans="1:11" ht="15">
      <c r="A194" s="36"/>
      <c r="B194" s="91"/>
      <c r="C194" s="91"/>
      <c r="D194" s="34"/>
      <c r="E194" s="34"/>
      <c r="F194" s="26">
        <f t="shared" si="6"/>
        <v>179</v>
      </c>
      <c r="G194" s="146" t="s">
        <v>198</v>
      </c>
      <c r="H194" s="31">
        <v>0</v>
      </c>
      <c r="I194" s="31">
        <v>75000</v>
      </c>
      <c r="J194" s="25">
        <v>72394.04</v>
      </c>
      <c r="K194" s="336">
        <f>J192/I192*100</f>
        <v>4.8998</v>
      </c>
    </row>
    <row r="195" spans="1:11" ht="15">
      <c r="A195" s="65"/>
      <c r="B195" s="91"/>
      <c r="C195" s="91"/>
      <c r="D195" s="34"/>
      <c r="E195" s="34"/>
      <c r="F195" s="26">
        <f t="shared" si="6"/>
        <v>180</v>
      </c>
      <c r="G195" s="146" t="s">
        <v>199</v>
      </c>
      <c r="H195" s="31">
        <v>200000</v>
      </c>
      <c r="I195" s="31">
        <f>200000+0+0+0-50000</f>
        <v>150000</v>
      </c>
      <c r="J195" s="25">
        <v>112149.06</v>
      </c>
      <c r="K195" s="336">
        <f>J193/I193*100</f>
        <v>10.628639999999999</v>
      </c>
    </row>
    <row r="196" spans="1:11" ht="15">
      <c r="A196" s="65"/>
      <c r="B196" s="91"/>
      <c r="C196" s="91"/>
      <c r="D196" s="34"/>
      <c r="E196" s="34"/>
      <c r="F196" s="26">
        <f t="shared" si="6"/>
        <v>181</v>
      </c>
      <c r="G196" s="147" t="s">
        <v>200</v>
      </c>
      <c r="H196" s="31">
        <v>803000</v>
      </c>
      <c r="I196" s="31">
        <v>514100</v>
      </c>
      <c r="J196" s="25">
        <v>514062.45</v>
      </c>
      <c r="K196" s="336">
        <f t="shared" si="10"/>
        <v>74.76604</v>
      </c>
    </row>
    <row r="197" spans="1:11" ht="15">
      <c r="A197" s="36"/>
      <c r="B197" s="91"/>
      <c r="C197" s="91"/>
      <c r="D197" s="34"/>
      <c r="E197" s="34"/>
      <c r="F197" s="26">
        <f t="shared" si="6"/>
        <v>182</v>
      </c>
      <c r="G197" s="148" t="s">
        <v>201</v>
      </c>
      <c r="H197" s="31">
        <v>200000</v>
      </c>
      <c r="I197" s="31">
        <f>200000+0+0+0+0+0+0+0+0-150000</f>
        <v>50000</v>
      </c>
      <c r="J197" s="25">
        <v>9972</v>
      </c>
      <c r="K197" s="336">
        <f t="shared" si="10"/>
        <v>99.992695973546</v>
      </c>
    </row>
    <row r="198" spans="1:11" ht="15">
      <c r="A198" s="36"/>
      <c r="B198" s="91"/>
      <c r="C198" s="91"/>
      <c r="D198" s="91"/>
      <c r="E198" s="91"/>
      <c r="F198" s="26">
        <f t="shared" si="6"/>
        <v>183</v>
      </c>
      <c r="G198" s="148" t="s">
        <v>202</v>
      </c>
      <c r="H198" s="31">
        <v>210000</v>
      </c>
      <c r="I198" s="31">
        <f>210000-210000</f>
        <v>0</v>
      </c>
      <c r="J198" s="25">
        <v>0</v>
      </c>
      <c r="K198" s="336">
        <f t="shared" si="10"/>
        <v>19.944</v>
      </c>
    </row>
    <row r="199" spans="1:11" ht="15">
      <c r="A199" s="141"/>
      <c r="B199" s="66"/>
      <c r="C199" s="66"/>
      <c r="D199" s="327"/>
      <c r="E199" s="327"/>
      <c r="F199" s="26">
        <f t="shared" si="6"/>
        <v>184</v>
      </c>
      <c r="G199" s="147"/>
      <c r="H199" s="78"/>
      <c r="I199" s="78"/>
      <c r="J199" s="79"/>
      <c r="K199" s="337"/>
    </row>
    <row r="200" spans="1:11" ht="15">
      <c r="A200" s="36"/>
      <c r="B200" s="91"/>
      <c r="C200" s="91"/>
      <c r="D200" s="34"/>
      <c r="E200" s="34"/>
      <c r="F200" s="26">
        <f t="shared" si="6"/>
        <v>185</v>
      </c>
      <c r="G200" s="68" t="s">
        <v>203</v>
      </c>
      <c r="H200" s="69">
        <f>SUM(H201:H223)</f>
        <v>9352500</v>
      </c>
      <c r="I200" s="69">
        <f>SUM(I201:I223)</f>
        <v>7729000</v>
      </c>
      <c r="J200" s="70">
        <f>SUM(J201:J223)</f>
        <v>5126868.95</v>
      </c>
      <c r="K200" s="216">
        <f>J200/I200*100</f>
        <v>66.33288847198861</v>
      </c>
    </row>
    <row r="201" spans="1:11" ht="15">
      <c r="A201" s="36"/>
      <c r="B201" s="91"/>
      <c r="C201" s="91"/>
      <c r="D201" s="34"/>
      <c r="E201" s="34"/>
      <c r="F201" s="26">
        <f t="shared" si="6"/>
        <v>186</v>
      </c>
      <c r="G201" s="77" t="s">
        <v>204</v>
      </c>
      <c r="H201" s="31">
        <v>20000</v>
      </c>
      <c r="I201" s="31">
        <v>20000</v>
      </c>
      <c r="J201" s="73">
        <v>0</v>
      </c>
      <c r="K201" s="336">
        <f aca="true" t="shared" si="11" ref="K201:K223">J201/I201*100</f>
        <v>0</v>
      </c>
    </row>
    <row r="202" spans="1:11" ht="15">
      <c r="A202" s="36"/>
      <c r="B202" s="91"/>
      <c r="C202" s="91"/>
      <c r="D202" s="34"/>
      <c r="E202" s="34"/>
      <c r="F202" s="26">
        <f t="shared" si="6"/>
        <v>187</v>
      </c>
      <c r="G202" s="77" t="s">
        <v>205</v>
      </c>
      <c r="H202" s="31">
        <v>20000</v>
      </c>
      <c r="I202" s="31">
        <v>20000</v>
      </c>
      <c r="J202" s="25">
        <v>353</v>
      </c>
      <c r="K202" s="336">
        <f t="shared" si="11"/>
        <v>1.765</v>
      </c>
    </row>
    <row r="203" spans="1:11" ht="15">
      <c r="A203" s="36"/>
      <c r="B203" s="91"/>
      <c r="C203" s="91"/>
      <c r="D203" s="34"/>
      <c r="E203" s="34"/>
      <c r="F203" s="26">
        <f t="shared" si="6"/>
        <v>188</v>
      </c>
      <c r="G203" s="77" t="s">
        <v>206</v>
      </c>
      <c r="H203" s="31">
        <v>75000</v>
      </c>
      <c r="I203" s="31">
        <v>75000</v>
      </c>
      <c r="J203" s="25">
        <v>69201.32</v>
      </c>
      <c r="K203" s="336">
        <f t="shared" si="11"/>
        <v>92.26842666666668</v>
      </c>
    </row>
    <row r="204" spans="1:11" ht="15">
      <c r="A204" s="36"/>
      <c r="B204" s="91"/>
      <c r="C204" s="91"/>
      <c r="D204" s="34"/>
      <c r="E204" s="34"/>
      <c r="F204" s="26">
        <f t="shared" si="6"/>
        <v>189</v>
      </c>
      <c r="G204" s="94" t="s">
        <v>207</v>
      </c>
      <c r="H204" s="31">
        <v>90000</v>
      </c>
      <c r="I204" s="31">
        <v>90000</v>
      </c>
      <c r="J204" s="25">
        <v>22113.25</v>
      </c>
      <c r="K204" s="336">
        <f t="shared" si="11"/>
        <v>24.570277777777775</v>
      </c>
    </row>
    <row r="205" spans="1:11" ht="15">
      <c r="A205" s="36"/>
      <c r="B205" s="91"/>
      <c r="C205" s="91"/>
      <c r="D205" s="34"/>
      <c r="E205" s="34"/>
      <c r="F205" s="26">
        <f t="shared" si="6"/>
        <v>190</v>
      </c>
      <c r="G205" s="77" t="s">
        <v>208</v>
      </c>
      <c r="H205" s="31">
        <v>600000</v>
      </c>
      <c r="I205" s="31">
        <f>600000-23400+0+0-276600+100000</f>
        <v>400000</v>
      </c>
      <c r="J205" s="25">
        <v>323410.54</v>
      </c>
      <c r="K205" s="336">
        <f t="shared" si="11"/>
        <v>80.85263499999999</v>
      </c>
    </row>
    <row r="206" spans="1:11" ht="15">
      <c r="A206" s="36"/>
      <c r="B206" s="91"/>
      <c r="C206" s="91"/>
      <c r="D206" s="34"/>
      <c r="E206" s="34"/>
      <c r="F206" s="26">
        <f t="shared" si="6"/>
        <v>191</v>
      </c>
      <c r="G206" s="148" t="s">
        <v>209</v>
      </c>
      <c r="H206" s="31">
        <v>2700000</v>
      </c>
      <c r="I206" s="31">
        <f>2700000-0-2700000</f>
        <v>0</v>
      </c>
      <c r="J206" s="25">
        <v>0</v>
      </c>
      <c r="K206" s="336" t="e">
        <f>J206/I206*100</f>
        <v>#DIV/0!</v>
      </c>
    </row>
    <row r="207" spans="1:11" ht="15">
      <c r="A207" s="36"/>
      <c r="B207" s="91"/>
      <c r="C207" s="91"/>
      <c r="D207" s="34"/>
      <c r="E207" s="34"/>
      <c r="F207" s="26">
        <f t="shared" si="6"/>
        <v>192</v>
      </c>
      <c r="G207" s="148" t="s">
        <v>210</v>
      </c>
      <c r="H207" s="31">
        <v>600000</v>
      </c>
      <c r="I207" s="31">
        <v>36200</v>
      </c>
      <c r="J207" s="25">
        <v>0</v>
      </c>
      <c r="K207" s="336">
        <f t="shared" si="11"/>
        <v>0</v>
      </c>
    </row>
    <row r="208" spans="1:11" ht="15">
      <c r="A208" s="36"/>
      <c r="B208" s="91"/>
      <c r="C208" s="91"/>
      <c r="D208" s="34"/>
      <c r="E208" s="34"/>
      <c r="F208" s="26">
        <f t="shared" si="6"/>
        <v>193</v>
      </c>
      <c r="G208" s="77" t="s">
        <v>211</v>
      </c>
      <c r="H208" s="31">
        <v>300000</v>
      </c>
      <c r="I208" s="31">
        <f>300000-100000</f>
        <v>200000</v>
      </c>
      <c r="J208" s="25">
        <v>109998</v>
      </c>
      <c r="K208" s="336">
        <f t="shared" si="11"/>
        <v>54.998999999999995</v>
      </c>
    </row>
    <row r="209" spans="1:11" ht="15">
      <c r="A209" s="45"/>
      <c r="B209" s="91"/>
      <c r="C209" s="91"/>
      <c r="D209" s="34"/>
      <c r="E209" s="34"/>
      <c r="F209" s="26">
        <f t="shared" si="6"/>
        <v>194</v>
      </c>
      <c r="G209" s="77" t="s">
        <v>212</v>
      </c>
      <c r="H209" s="31">
        <v>150000</v>
      </c>
      <c r="I209" s="31">
        <f>150000+0-50000+0+0+0+0+0+15000</f>
        <v>115000</v>
      </c>
      <c r="J209" s="25">
        <v>100877.44</v>
      </c>
      <c r="K209" s="336">
        <f t="shared" si="11"/>
        <v>87.71951304347826</v>
      </c>
    </row>
    <row r="210" spans="1:11" ht="15">
      <c r="A210" s="36"/>
      <c r="B210" s="91"/>
      <c r="C210" s="91"/>
      <c r="D210" s="34"/>
      <c r="E210" s="34"/>
      <c r="F210" s="26">
        <f t="shared" si="6"/>
        <v>195</v>
      </c>
      <c r="G210" s="77" t="s">
        <v>213</v>
      </c>
      <c r="H210" s="31">
        <v>0</v>
      </c>
      <c r="I210" s="31">
        <f>0+0+703400-703400</f>
        <v>0</v>
      </c>
      <c r="J210" s="25">
        <v>0</v>
      </c>
      <c r="K210" s="336" t="e">
        <f t="shared" si="11"/>
        <v>#DIV/0!</v>
      </c>
    </row>
    <row r="211" spans="1:11" ht="15">
      <c r="A211" s="36"/>
      <c r="B211" s="91"/>
      <c r="C211" s="91"/>
      <c r="D211" s="34"/>
      <c r="E211" s="34"/>
      <c r="F211" s="26">
        <f t="shared" si="6"/>
        <v>196</v>
      </c>
      <c r="G211" s="149" t="s">
        <v>214</v>
      </c>
      <c r="H211" s="137">
        <v>0</v>
      </c>
      <c r="I211" s="137">
        <f>0+1347100</f>
        <v>1347100</v>
      </c>
      <c r="J211" s="40">
        <v>0</v>
      </c>
      <c r="K211" s="343">
        <f t="shared" si="11"/>
        <v>0</v>
      </c>
    </row>
    <row r="212" spans="1:11" ht="15">
      <c r="A212" s="36"/>
      <c r="B212" s="91"/>
      <c r="C212" s="91"/>
      <c r="D212" s="34"/>
      <c r="E212" s="34"/>
      <c r="F212" s="26">
        <f aca="true" t="shared" si="12" ref="F212:F275">F211+1</f>
        <v>197</v>
      </c>
      <c r="G212" s="149" t="s">
        <v>215</v>
      </c>
      <c r="H212" s="137">
        <v>0</v>
      </c>
      <c r="I212" s="137">
        <v>0</v>
      </c>
      <c r="J212" s="40">
        <v>0</v>
      </c>
      <c r="K212" s="343" t="e">
        <f t="shared" si="11"/>
        <v>#DIV/0!</v>
      </c>
    </row>
    <row r="213" spans="1:11" ht="15">
      <c r="A213" s="45"/>
      <c r="B213" s="91"/>
      <c r="C213" s="91"/>
      <c r="D213" s="34"/>
      <c r="E213" s="34"/>
      <c r="F213" s="26">
        <f t="shared" si="12"/>
        <v>198</v>
      </c>
      <c r="G213" s="77" t="s">
        <v>216</v>
      </c>
      <c r="H213" s="31">
        <v>0</v>
      </c>
      <c r="I213" s="31">
        <v>103800</v>
      </c>
      <c r="J213" s="25">
        <v>103795.02</v>
      </c>
      <c r="K213" s="336">
        <f t="shared" si="11"/>
        <v>99.99520231213873</v>
      </c>
    </row>
    <row r="214" spans="1:11" ht="15">
      <c r="A214" s="36"/>
      <c r="B214" s="91"/>
      <c r="C214" s="91"/>
      <c r="D214" s="34"/>
      <c r="E214" s="34"/>
      <c r="F214" s="26">
        <f t="shared" si="12"/>
        <v>199</v>
      </c>
      <c r="G214" s="77" t="s">
        <v>217</v>
      </c>
      <c r="H214" s="31">
        <v>0</v>
      </c>
      <c r="I214" s="31">
        <f>0+7500+0+0+22500</f>
        <v>30000</v>
      </c>
      <c r="J214" s="25">
        <v>12385.41</v>
      </c>
      <c r="K214" s="336">
        <f t="shared" si="11"/>
        <v>41.2847</v>
      </c>
    </row>
    <row r="215" spans="1:11" ht="15">
      <c r="A215" s="45"/>
      <c r="B215" s="91"/>
      <c r="C215" s="91"/>
      <c r="D215" s="34"/>
      <c r="E215" s="34"/>
      <c r="F215" s="26">
        <f t="shared" si="12"/>
        <v>200</v>
      </c>
      <c r="G215" s="77" t="s">
        <v>218</v>
      </c>
      <c r="H215" s="31">
        <v>1600000</v>
      </c>
      <c r="I215" s="31">
        <f>1600000+0-1089000+0+206000+0+18900</f>
        <v>735900</v>
      </c>
      <c r="J215" s="25">
        <v>542658.33</v>
      </c>
      <c r="K215" s="336">
        <f t="shared" si="11"/>
        <v>73.74077048512025</v>
      </c>
    </row>
    <row r="216" spans="1:11" ht="15">
      <c r="A216" s="45"/>
      <c r="B216" s="91"/>
      <c r="C216" s="91"/>
      <c r="D216" s="34"/>
      <c r="E216" s="34"/>
      <c r="F216" s="26">
        <f t="shared" si="12"/>
        <v>201</v>
      </c>
      <c r="G216" s="77" t="s">
        <v>219</v>
      </c>
      <c r="H216" s="31">
        <v>0</v>
      </c>
      <c r="I216" s="31">
        <f>0+59700</f>
        <v>59700</v>
      </c>
      <c r="J216" s="150">
        <v>59692.93</v>
      </c>
      <c r="K216" s="336">
        <f t="shared" si="11"/>
        <v>99.98815745393634</v>
      </c>
    </row>
    <row r="217" spans="1:11" ht="15">
      <c r="A217" s="45"/>
      <c r="B217" s="91"/>
      <c r="C217" s="91"/>
      <c r="D217" s="34"/>
      <c r="E217" s="34"/>
      <c r="F217" s="26">
        <f t="shared" si="12"/>
        <v>202</v>
      </c>
      <c r="G217" s="77" t="s">
        <v>220</v>
      </c>
      <c r="H217" s="31">
        <v>0</v>
      </c>
      <c r="I217" s="31">
        <f>0+39800</f>
        <v>39800</v>
      </c>
      <c r="J217" s="150">
        <v>39741.24</v>
      </c>
      <c r="K217" s="336">
        <f t="shared" si="11"/>
        <v>99.85236180904522</v>
      </c>
    </row>
    <row r="218" spans="1:11" ht="15">
      <c r="A218" s="36"/>
      <c r="B218" s="91"/>
      <c r="C218" s="91"/>
      <c r="D218" s="34"/>
      <c r="E218" s="34"/>
      <c r="F218" s="26">
        <f t="shared" si="12"/>
        <v>203</v>
      </c>
      <c r="G218" s="149" t="s">
        <v>221</v>
      </c>
      <c r="H218" s="137">
        <v>0</v>
      </c>
      <c r="I218" s="137">
        <f>0+0+1000000+0+114000</f>
        <v>1114000</v>
      </c>
      <c r="J218" s="40">
        <v>1113173.68</v>
      </c>
      <c r="K218" s="343">
        <f>J218/I218*100</f>
        <v>99.92582405745061</v>
      </c>
    </row>
    <row r="219" spans="1:11" ht="15">
      <c r="A219" s="45"/>
      <c r="B219" s="91"/>
      <c r="C219" s="91"/>
      <c r="D219" s="34"/>
      <c r="E219" s="34"/>
      <c r="F219" s="26">
        <f t="shared" si="12"/>
        <v>204</v>
      </c>
      <c r="G219" s="149" t="s">
        <v>222</v>
      </c>
      <c r="H219" s="137">
        <v>2394500</v>
      </c>
      <c r="I219" s="137">
        <v>2394500</v>
      </c>
      <c r="J219" s="40">
        <v>1913776.04</v>
      </c>
      <c r="K219" s="343">
        <f t="shared" si="11"/>
        <v>79.9238271037795</v>
      </c>
    </row>
    <row r="220" spans="1:11" ht="15">
      <c r="A220" s="36"/>
      <c r="B220" s="91"/>
      <c r="C220" s="91"/>
      <c r="D220" s="34"/>
      <c r="E220" s="34"/>
      <c r="F220" s="26">
        <f t="shared" si="12"/>
        <v>205</v>
      </c>
      <c r="G220" s="149" t="s">
        <v>223</v>
      </c>
      <c r="H220" s="137">
        <v>803000</v>
      </c>
      <c r="I220" s="137">
        <v>803000</v>
      </c>
      <c r="J220" s="40">
        <v>688056.35</v>
      </c>
      <c r="K220" s="343">
        <f t="shared" si="11"/>
        <v>85.68572229140722</v>
      </c>
    </row>
    <row r="221" spans="1:11" ht="15">
      <c r="A221" s="36"/>
      <c r="B221" s="91"/>
      <c r="C221" s="91"/>
      <c r="D221" s="34"/>
      <c r="E221" s="34"/>
      <c r="F221" s="26">
        <f t="shared" si="12"/>
        <v>206</v>
      </c>
      <c r="G221" s="77" t="s">
        <v>224</v>
      </c>
      <c r="H221" s="31">
        <v>0</v>
      </c>
      <c r="I221" s="31">
        <v>27700</v>
      </c>
      <c r="J221" s="25">
        <v>27636.4</v>
      </c>
      <c r="K221" s="336">
        <f t="shared" si="11"/>
        <v>99.77039711191337</v>
      </c>
    </row>
    <row r="222" spans="1:11" ht="15">
      <c r="A222" s="36"/>
      <c r="B222" s="91"/>
      <c r="C222" s="91"/>
      <c r="D222" s="34"/>
      <c r="E222" s="34"/>
      <c r="F222" s="26">
        <f t="shared" si="12"/>
        <v>207</v>
      </c>
      <c r="G222" s="77" t="s">
        <v>225</v>
      </c>
      <c r="H222" s="31">
        <v>0</v>
      </c>
      <c r="I222" s="31">
        <f>0+0+0+0+70000</f>
        <v>70000</v>
      </c>
      <c r="J222" s="25">
        <v>0</v>
      </c>
      <c r="K222" s="336">
        <f t="shared" si="11"/>
        <v>0</v>
      </c>
    </row>
    <row r="223" spans="1:11" ht="15">
      <c r="A223" s="36"/>
      <c r="B223" s="91"/>
      <c r="C223" s="91"/>
      <c r="D223" s="34"/>
      <c r="E223" s="34"/>
      <c r="F223" s="26">
        <f t="shared" si="12"/>
        <v>208</v>
      </c>
      <c r="G223" s="77" t="s">
        <v>226</v>
      </c>
      <c r="H223" s="31">
        <v>0</v>
      </c>
      <c r="I223" s="31">
        <v>47300</v>
      </c>
      <c r="J223" s="25">
        <v>0</v>
      </c>
      <c r="K223" s="336">
        <f t="shared" si="11"/>
        <v>0</v>
      </c>
    </row>
    <row r="224" spans="1:11" ht="15">
      <c r="A224" s="36"/>
      <c r="B224" s="91"/>
      <c r="C224" s="91"/>
      <c r="D224" s="34"/>
      <c r="E224" s="34"/>
      <c r="F224" s="26">
        <f t="shared" si="12"/>
        <v>209</v>
      </c>
      <c r="G224" s="148"/>
      <c r="H224" s="78"/>
      <c r="I224" s="78"/>
      <c r="J224" s="79"/>
      <c r="K224" s="337"/>
    </row>
    <row r="225" spans="1:11" ht="15">
      <c r="A225" s="92" t="s">
        <v>227</v>
      </c>
      <c r="B225" s="87">
        <f>SUM(B226:B229)</f>
        <v>17200</v>
      </c>
      <c r="C225" s="87">
        <f>SUM(C226:C229)</f>
        <v>53100</v>
      </c>
      <c r="D225" s="93">
        <f>SUM(D226:D229)</f>
        <v>50035</v>
      </c>
      <c r="E225" s="93">
        <f>D225/C225*100</f>
        <v>94.22787193973635</v>
      </c>
      <c r="F225" s="26">
        <f t="shared" si="12"/>
        <v>210</v>
      </c>
      <c r="G225" s="92" t="s">
        <v>228</v>
      </c>
      <c r="H225" s="69">
        <f>SUM(H226:H242)</f>
        <v>11816000</v>
      </c>
      <c r="I225" s="69">
        <f>SUM(I226:I242)</f>
        <v>15695500</v>
      </c>
      <c r="J225" s="70">
        <f>SUM(J226:J242)</f>
        <v>15456964.929999998</v>
      </c>
      <c r="K225" s="216">
        <f>J225/I225*100</f>
        <v>98.48023274186868</v>
      </c>
    </row>
    <row r="226" spans="1:11" ht="15">
      <c r="A226" s="94" t="s">
        <v>229</v>
      </c>
      <c r="B226" s="95">
        <v>17200</v>
      </c>
      <c r="C226" s="95">
        <v>17200</v>
      </c>
      <c r="D226" s="73">
        <v>17184</v>
      </c>
      <c r="E226" s="73">
        <f>D226/C226*100</f>
        <v>99.90697674418605</v>
      </c>
      <c r="F226" s="26">
        <f t="shared" si="12"/>
        <v>211</v>
      </c>
      <c r="G226" s="151" t="s">
        <v>230</v>
      </c>
      <c r="H226" s="31">
        <v>0</v>
      </c>
      <c r="I226" s="31">
        <f>0+0+0+0+0+0+0+0+0+0+2300</f>
        <v>2300</v>
      </c>
      <c r="J226" s="73">
        <v>2300</v>
      </c>
      <c r="K226" s="336">
        <f aca="true" t="shared" si="13" ref="K226:K233">J226/I226*100</f>
        <v>100</v>
      </c>
    </row>
    <row r="227" spans="1:11" ht="15">
      <c r="A227" s="129" t="s">
        <v>231</v>
      </c>
      <c r="B227" s="152">
        <v>0</v>
      </c>
      <c r="C227" s="152">
        <f>0+12100</f>
        <v>12100</v>
      </c>
      <c r="D227" s="150">
        <v>9075</v>
      </c>
      <c r="E227" s="73">
        <f>D227/C227*100</f>
        <v>75</v>
      </c>
      <c r="F227" s="26">
        <f t="shared" si="12"/>
        <v>212</v>
      </c>
      <c r="G227" s="151" t="s">
        <v>232</v>
      </c>
      <c r="H227" s="31">
        <v>100000</v>
      </c>
      <c r="I227" s="31">
        <f>99300-2300-12100</f>
        <v>84900</v>
      </c>
      <c r="J227" s="73">
        <v>33058</v>
      </c>
      <c r="K227" s="336">
        <f t="shared" si="13"/>
        <v>38.937573616018845</v>
      </c>
    </row>
    <row r="228" spans="1:11" ht="15">
      <c r="A228" s="153" t="s">
        <v>233</v>
      </c>
      <c r="B228" s="152">
        <v>0</v>
      </c>
      <c r="C228" s="152">
        <f>0+0+0+0+23800</f>
        <v>23800</v>
      </c>
      <c r="D228" s="150">
        <v>23776</v>
      </c>
      <c r="E228" s="73">
        <f>D228/C228*100</f>
        <v>99.89915966386555</v>
      </c>
      <c r="F228" s="26">
        <f t="shared" si="12"/>
        <v>213</v>
      </c>
      <c r="G228" s="151" t="s">
        <v>1084</v>
      </c>
      <c r="H228" s="31">
        <v>0</v>
      </c>
      <c r="I228" s="31">
        <v>1900</v>
      </c>
      <c r="J228" s="73">
        <v>1887.6</v>
      </c>
      <c r="K228" s="336">
        <f>J228/I228*100</f>
        <v>99.34736842105264</v>
      </c>
    </row>
    <row r="229" spans="1:11" ht="15">
      <c r="A229" s="153"/>
      <c r="B229" s="154"/>
      <c r="C229" s="154"/>
      <c r="D229" s="155"/>
      <c r="E229" s="362"/>
      <c r="F229" s="26">
        <f t="shared" si="12"/>
        <v>214</v>
      </c>
      <c r="G229" s="151" t="s">
        <v>234</v>
      </c>
      <c r="H229" s="31">
        <v>400000</v>
      </c>
      <c r="I229" s="31">
        <f>400700+162100+60000</f>
        <v>622800</v>
      </c>
      <c r="J229" s="73">
        <v>588835.51</v>
      </c>
      <c r="K229" s="336">
        <f t="shared" si="13"/>
        <v>94.54648522800258</v>
      </c>
    </row>
    <row r="230" spans="1:11" ht="15">
      <c r="A230" s="58"/>
      <c r="B230" s="59"/>
      <c r="C230" s="59"/>
      <c r="D230" s="57"/>
      <c r="E230" s="132"/>
      <c r="F230" s="26">
        <f t="shared" si="12"/>
        <v>215</v>
      </c>
      <c r="G230" s="94" t="s">
        <v>235</v>
      </c>
      <c r="H230" s="31">
        <v>3266000</v>
      </c>
      <c r="I230" s="31">
        <f>3266000-120000</f>
        <v>3146000</v>
      </c>
      <c r="J230" s="150">
        <v>3146000</v>
      </c>
      <c r="K230" s="336">
        <f t="shared" si="13"/>
        <v>100</v>
      </c>
    </row>
    <row r="231" spans="1:11" ht="15">
      <c r="A231" s="58"/>
      <c r="B231" s="59"/>
      <c r="C231" s="59"/>
      <c r="D231" s="57"/>
      <c r="E231" s="132"/>
      <c r="F231" s="26">
        <f t="shared" si="12"/>
        <v>216</v>
      </c>
      <c r="G231" s="94" t="s">
        <v>236</v>
      </c>
      <c r="H231" s="31">
        <v>0</v>
      </c>
      <c r="I231" s="31">
        <f>0+0+2000</f>
        <v>2000</v>
      </c>
      <c r="J231" s="150">
        <v>2000</v>
      </c>
      <c r="K231" s="336">
        <f t="shared" si="13"/>
        <v>100</v>
      </c>
    </row>
    <row r="232" spans="1:11" ht="15">
      <c r="A232" s="58"/>
      <c r="B232" s="59"/>
      <c r="C232" s="59"/>
      <c r="D232" s="57"/>
      <c r="E232" s="132"/>
      <c r="F232" s="26">
        <f t="shared" si="12"/>
        <v>217</v>
      </c>
      <c r="G232" s="94" t="s">
        <v>237</v>
      </c>
      <c r="H232" s="31">
        <v>50000</v>
      </c>
      <c r="I232" s="31">
        <v>0</v>
      </c>
      <c r="J232" s="150">
        <v>0</v>
      </c>
      <c r="K232" s="336" t="e">
        <f t="shared" si="13"/>
        <v>#DIV/0!</v>
      </c>
    </row>
    <row r="233" spans="1:11" ht="15">
      <c r="A233" s="58"/>
      <c r="B233" s="59"/>
      <c r="C233" s="59"/>
      <c r="D233" s="57"/>
      <c r="E233" s="132"/>
      <c r="F233" s="26">
        <f t="shared" si="12"/>
        <v>218</v>
      </c>
      <c r="G233" s="94" t="s">
        <v>238</v>
      </c>
      <c r="H233" s="31">
        <v>8000000</v>
      </c>
      <c r="I233" s="31">
        <v>5721300</v>
      </c>
      <c r="J233" s="150">
        <v>5721235.34</v>
      </c>
      <c r="K233" s="336">
        <f t="shared" si="13"/>
        <v>99.99886983727474</v>
      </c>
    </row>
    <row r="234" spans="1:11" ht="15">
      <c r="A234" s="58"/>
      <c r="B234" s="59"/>
      <c r="C234" s="59"/>
      <c r="D234" s="57"/>
      <c r="E234" s="132"/>
      <c r="F234" s="26">
        <f t="shared" si="12"/>
        <v>219</v>
      </c>
      <c r="G234" s="94" t="s">
        <v>239</v>
      </c>
      <c r="H234" s="31">
        <v>0</v>
      </c>
      <c r="I234" s="31">
        <v>30800</v>
      </c>
      <c r="J234" s="150">
        <v>30484</v>
      </c>
      <c r="K234" s="336">
        <f>J234/I234*100</f>
        <v>98.97402597402596</v>
      </c>
    </row>
    <row r="235" spans="1:11" ht="15">
      <c r="A235" s="58"/>
      <c r="B235" s="59"/>
      <c r="C235" s="59"/>
      <c r="D235" s="57"/>
      <c r="E235" s="132"/>
      <c r="F235" s="26">
        <f t="shared" si="12"/>
        <v>220</v>
      </c>
      <c r="G235" s="94" t="s">
        <v>240</v>
      </c>
      <c r="H235" s="31">
        <v>0</v>
      </c>
      <c r="I235" s="31">
        <v>120000</v>
      </c>
      <c r="J235" s="150">
        <v>117975</v>
      </c>
      <c r="K235" s="336">
        <f>J235/I235*100</f>
        <v>98.3125</v>
      </c>
    </row>
    <row r="236" spans="1:11" ht="15">
      <c r="A236" s="58"/>
      <c r="B236" s="59"/>
      <c r="C236" s="59"/>
      <c r="D236" s="57"/>
      <c r="E236" s="132"/>
      <c r="F236" s="26">
        <f t="shared" si="12"/>
        <v>221</v>
      </c>
      <c r="G236" s="156" t="s">
        <v>241</v>
      </c>
      <c r="H236" s="137">
        <v>0</v>
      </c>
      <c r="I236" s="137">
        <f>0+96000</f>
        <v>96000</v>
      </c>
      <c r="J236" s="157">
        <v>0</v>
      </c>
      <c r="K236" s="343">
        <f aca="true" t="shared" si="14" ref="K236:K241">J236/I236*100</f>
        <v>0</v>
      </c>
    </row>
    <row r="237" spans="1:11" ht="15">
      <c r="A237" s="58"/>
      <c r="B237" s="59"/>
      <c r="C237" s="59"/>
      <c r="D237" s="57"/>
      <c r="E237" s="132"/>
      <c r="F237" s="26">
        <f t="shared" si="12"/>
        <v>222</v>
      </c>
      <c r="G237" s="94" t="s">
        <v>242</v>
      </c>
      <c r="H237" s="31">
        <v>0</v>
      </c>
      <c r="I237" s="31">
        <v>369100</v>
      </c>
      <c r="J237" s="150">
        <v>369049.9</v>
      </c>
      <c r="K237" s="336">
        <f t="shared" si="14"/>
        <v>99.98642644269846</v>
      </c>
    </row>
    <row r="238" spans="1:11" ht="15">
      <c r="A238" s="58"/>
      <c r="B238" s="59"/>
      <c r="C238" s="59"/>
      <c r="D238" s="57"/>
      <c r="E238" s="132"/>
      <c r="F238" s="26">
        <f t="shared" si="12"/>
        <v>223</v>
      </c>
      <c r="G238" s="94" t="s">
        <v>243</v>
      </c>
      <c r="H238" s="31">
        <v>0</v>
      </c>
      <c r="I238" s="31">
        <f>0+240000+0+0+526000-26400-527300</f>
        <v>212300</v>
      </c>
      <c r="J238" s="150">
        <v>212269.04</v>
      </c>
      <c r="K238" s="336">
        <f t="shared" si="14"/>
        <v>99.98541686292982</v>
      </c>
    </row>
    <row r="239" spans="1:11" ht="15">
      <c r="A239" s="58"/>
      <c r="B239" s="59"/>
      <c r="C239" s="59"/>
      <c r="D239" s="57"/>
      <c r="E239" s="132"/>
      <c r="F239" s="26">
        <f t="shared" si="12"/>
        <v>224</v>
      </c>
      <c r="G239" s="94" t="s">
        <v>244</v>
      </c>
      <c r="H239" s="31">
        <v>0</v>
      </c>
      <c r="I239" s="31">
        <v>184600</v>
      </c>
      <c r="J239" s="150">
        <v>184524.95</v>
      </c>
      <c r="K239" s="336">
        <f t="shared" si="14"/>
        <v>99.95934452871073</v>
      </c>
    </row>
    <row r="240" spans="1:11" ht="15">
      <c r="A240" s="58"/>
      <c r="B240" s="59"/>
      <c r="C240" s="59"/>
      <c r="D240" s="57"/>
      <c r="E240" s="132"/>
      <c r="F240" s="26">
        <f t="shared" si="12"/>
        <v>225</v>
      </c>
      <c r="G240" s="94" t="s">
        <v>245</v>
      </c>
      <c r="H240" s="31">
        <v>0</v>
      </c>
      <c r="I240" s="31">
        <v>3137000</v>
      </c>
      <c r="J240" s="150">
        <v>3136924.22</v>
      </c>
      <c r="K240" s="336">
        <f t="shared" si="14"/>
        <v>99.9975843162257</v>
      </c>
    </row>
    <row r="241" spans="1:11" ht="15">
      <c r="A241" s="58"/>
      <c r="B241" s="59"/>
      <c r="C241" s="59"/>
      <c r="D241" s="57"/>
      <c r="E241" s="132"/>
      <c r="F241" s="26">
        <f t="shared" si="12"/>
        <v>226</v>
      </c>
      <c r="G241" s="94" t="s">
        <v>246</v>
      </c>
      <c r="H241" s="31">
        <v>0</v>
      </c>
      <c r="I241" s="31">
        <v>1817800</v>
      </c>
      <c r="J241" s="150">
        <v>1804286.85</v>
      </c>
      <c r="K241" s="336">
        <f t="shared" si="14"/>
        <v>99.25662064033448</v>
      </c>
    </row>
    <row r="242" spans="1:11" ht="15">
      <c r="A242" s="58"/>
      <c r="B242" s="59"/>
      <c r="C242" s="59"/>
      <c r="D242" s="57"/>
      <c r="E242" s="132"/>
      <c r="F242" s="26">
        <f t="shared" si="12"/>
        <v>227</v>
      </c>
      <c r="G242" s="94" t="s">
        <v>247</v>
      </c>
      <c r="H242" s="31">
        <v>0</v>
      </c>
      <c r="I242" s="31">
        <v>146700</v>
      </c>
      <c r="J242" s="150">
        <v>106134.52</v>
      </c>
      <c r="K242" s="336">
        <f>J242/I242*100</f>
        <v>72.34800272665304</v>
      </c>
    </row>
    <row r="243" spans="1:11" ht="15">
      <c r="A243" s="36"/>
      <c r="B243" s="133"/>
      <c r="C243" s="133"/>
      <c r="D243" s="132"/>
      <c r="E243" s="132"/>
      <c r="F243" s="26">
        <f t="shared" si="12"/>
        <v>228</v>
      </c>
      <c r="G243" s="94"/>
      <c r="H243" s="89"/>
      <c r="I243" s="89"/>
      <c r="J243" s="158"/>
      <c r="K243" s="337"/>
    </row>
    <row r="244" spans="1:11" ht="15">
      <c r="A244" s="92" t="s">
        <v>248</v>
      </c>
      <c r="B244" s="69">
        <f>SUM(B245:B247)</f>
        <v>200800</v>
      </c>
      <c r="C244" s="69">
        <f>SUM(C245:C247)</f>
        <v>236300</v>
      </c>
      <c r="D244" s="70">
        <f>SUM(D245:D247)</f>
        <v>236236</v>
      </c>
      <c r="E244" s="93">
        <f>D244/C244*100</f>
        <v>99.97291578501904</v>
      </c>
      <c r="F244" s="26">
        <f t="shared" si="12"/>
        <v>229</v>
      </c>
      <c r="G244" s="92" t="s">
        <v>248</v>
      </c>
      <c r="H244" s="69">
        <f>SUM(H245:H261)</f>
        <v>7641500</v>
      </c>
      <c r="I244" s="69">
        <f>SUM(I245:I261)</f>
        <v>9712000</v>
      </c>
      <c r="J244" s="70">
        <f>SUM(J245:J261)</f>
        <v>9631832.569999998</v>
      </c>
      <c r="K244" s="216">
        <f aca="true" t="shared" si="15" ref="K244:K261">J244/I244*100</f>
        <v>99.17455282125204</v>
      </c>
    </row>
    <row r="245" spans="1:11" ht="15">
      <c r="A245" s="94" t="s">
        <v>249</v>
      </c>
      <c r="B245" s="95">
        <v>176600</v>
      </c>
      <c r="C245" s="95">
        <v>176600</v>
      </c>
      <c r="D245" s="73">
        <v>176572</v>
      </c>
      <c r="E245" s="73">
        <f>D245/C245*100</f>
        <v>99.9841449603624</v>
      </c>
      <c r="F245" s="26">
        <f t="shared" si="12"/>
        <v>230</v>
      </c>
      <c r="G245" s="151" t="s">
        <v>250</v>
      </c>
      <c r="H245" s="31">
        <v>66000</v>
      </c>
      <c r="I245" s="31">
        <v>66000</v>
      </c>
      <c r="J245" s="150">
        <v>54617.29</v>
      </c>
      <c r="K245" s="336">
        <f t="shared" si="15"/>
        <v>82.75346969696969</v>
      </c>
    </row>
    <row r="246" spans="1:11" ht="15">
      <c r="A246" s="94" t="s">
        <v>251</v>
      </c>
      <c r="B246" s="95">
        <v>24200</v>
      </c>
      <c r="C246" s="95">
        <v>24200</v>
      </c>
      <c r="D246" s="73">
        <v>24200</v>
      </c>
      <c r="E246" s="73">
        <f>D246/C246*100</f>
        <v>100</v>
      </c>
      <c r="F246" s="26">
        <f t="shared" si="12"/>
        <v>231</v>
      </c>
      <c r="G246" s="151" t="s">
        <v>252</v>
      </c>
      <c r="H246" s="31">
        <v>0</v>
      </c>
      <c r="I246" s="31">
        <f>44000</f>
        <v>44000</v>
      </c>
      <c r="J246" s="150">
        <v>40419</v>
      </c>
      <c r="K246" s="336">
        <f t="shared" si="15"/>
        <v>91.86136363636363</v>
      </c>
    </row>
    <row r="247" spans="1:11" ht="15">
      <c r="A247" s="94" t="s">
        <v>253</v>
      </c>
      <c r="B247" s="95">
        <v>0</v>
      </c>
      <c r="C247" s="95">
        <f>0+0+0+0+35500</f>
        <v>35500</v>
      </c>
      <c r="D247" s="73">
        <v>35464</v>
      </c>
      <c r="E247" s="73">
        <f>D247/C247*100</f>
        <v>99.89859154929577</v>
      </c>
      <c r="F247" s="26">
        <f t="shared" si="12"/>
        <v>232</v>
      </c>
      <c r="G247" s="151" t="s">
        <v>254</v>
      </c>
      <c r="H247" s="31">
        <v>0</v>
      </c>
      <c r="I247" s="31">
        <v>35800</v>
      </c>
      <c r="J247" s="150">
        <v>35749</v>
      </c>
      <c r="K247" s="336">
        <f t="shared" si="15"/>
        <v>99.85754189944134</v>
      </c>
    </row>
    <row r="248" spans="1:11" ht="15">
      <c r="A248" s="36"/>
      <c r="B248" s="133"/>
      <c r="C248" s="133"/>
      <c r="D248" s="132"/>
      <c r="E248" s="132"/>
      <c r="F248" s="26">
        <f t="shared" si="12"/>
        <v>233</v>
      </c>
      <c r="G248" s="151" t="s">
        <v>255</v>
      </c>
      <c r="H248" s="31">
        <v>10000</v>
      </c>
      <c r="I248" s="31">
        <v>8500</v>
      </c>
      <c r="J248" s="150">
        <v>3630</v>
      </c>
      <c r="K248" s="336">
        <f t="shared" si="15"/>
        <v>42.705882352941174</v>
      </c>
    </row>
    <row r="249" spans="1:11" ht="15">
      <c r="A249" s="36"/>
      <c r="B249" s="133"/>
      <c r="C249" s="133"/>
      <c r="D249" s="132"/>
      <c r="E249" s="132"/>
      <c r="F249" s="26">
        <f t="shared" si="12"/>
        <v>234</v>
      </c>
      <c r="G249" s="151" t="s">
        <v>256</v>
      </c>
      <c r="H249" s="31">
        <v>0</v>
      </c>
      <c r="I249" s="31">
        <f>0+700</f>
        <v>700</v>
      </c>
      <c r="J249" s="73">
        <v>680.02</v>
      </c>
      <c r="K249" s="336">
        <f t="shared" si="15"/>
        <v>97.14571428571428</v>
      </c>
    </row>
    <row r="250" spans="1:12" ht="15">
      <c r="A250" s="36"/>
      <c r="B250" s="133"/>
      <c r="C250" s="133"/>
      <c r="D250" s="132"/>
      <c r="E250" s="132"/>
      <c r="F250" s="26">
        <f t="shared" si="12"/>
        <v>235</v>
      </c>
      <c r="G250" s="94" t="s">
        <v>257</v>
      </c>
      <c r="H250" s="31">
        <v>115500</v>
      </c>
      <c r="I250" s="31">
        <v>115500</v>
      </c>
      <c r="J250" s="73">
        <v>115500</v>
      </c>
      <c r="K250" s="336">
        <f t="shared" si="15"/>
        <v>100</v>
      </c>
      <c r="L250" s="159"/>
    </row>
    <row r="251" spans="1:12" ht="15">
      <c r="A251" s="36"/>
      <c r="B251" s="133"/>
      <c r="C251" s="133"/>
      <c r="D251" s="132"/>
      <c r="E251" s="132"/>
      <c r="F251" s="26">
        <f t="shared" si="12"/>
        <v>236</v>
      </c>
      <c r="G251" s="94" t="s">
        <v>258</v>
      </c>
      <c r="H251" s="31">
        <f>5200000+570000</f>
        <v>5770000</v>
      </c>
      <c r="I251" s="31">
        <f>5520000-160500</f>
        <v>5359500</v>
      </c>
      <c r="J251" s="73">
        <v>5359500</v>
      </c>
      <c r="K251" s="336">
        <f>J251/I251*100</f>
        <v>100</v>
      </c>
      <c r="L251" s="160"/>
    </row>
    <row r="252" spans="1:11" ht="15">
      <c r="A252" s="36"/>
      <c r="B252" s="133"/>
      <c r="C252" s="133"/>
      <c r="D252" s="132"/>
      <c r="E252" s="132"/>
      <c r="F252" s="26">
        <f t="shared" si="12"/>
        <v>237</v>
      </c>
      <c r="G252" s="94" t="s">
        <v>259</v>
      </c>
      <c r="H252" s="31">
        <v>750000</v>
      </c>
      <c r="I252" s="31">
        <v>750000</v>
      </c>
      <c r="J252" s="73">
        <v>750000</v>
      </c>
      <c r="K252" s="336">
        <f t="shared" si="15"/>
        <v>100</v>
      </c>
    </row>
    <row r="253" spans="1:11" ht="15">
      <c r="A253" s="36"/>
      <c r="B253" s="133"/>
      <c r="C253" s="133"/>
      <c r="D253" s="132"/>
      <c r="E253" s="132"/>
      <c r="F253" s="26">
        <f t="shared" si="12"/>
        <v>238</v>
      </c>
      <c r="G253" s="94" t="s">
        <v>260</v>
      </c>
      <c r="H253" s="31">
        <v>0</v>
      </c>
      <c r="I253" s="31">
        <v>145700</v>
      </c>
      <c r="J253" s="73">
        <v>145695.15</v>
      </c>
      <c r="K253" s="336">
        <f t="shared" si="15"/>
        <v>99.99667124227865</v>
      </c>
    </row>
    <row r="254" spans="1:11" ht="15">
      <c r="A254" s="36"/>
      <c r="B254" s="133"/>
      <c r="C254" s="133"/>
      <c r="D254" s="132"/>
      <c r="E254" s="132"/>
      <c r="F254" s="26">
        <f t="shared" si="12"/>
        <v>239</v>
      </c>
      <c r="G254" s="94" t="s">
        <v>261</v>
      </c>
      <c r="H254" s="31"/>
      <c r="I254" s="31">
        <f>0+142600</f>
        <v>142600</v>
      </c>
      <c r="J254" s="73">
        <v>142567.8</v>
      </c>
      <c r="K254" s="336">
        <f>J254/I254*100</f>
        <v>99.9774193548387</v>
      </c>
    </row>
    <row r="255" spans="1:11" ht="15">
      <c r="A255" s="36"/>
      <c r="B255" s="133"/>
      <c r="C255" s="133"/>
      <c r="D255" s="132"/>
      <c r="E255" s="132"/>
      <c r="F255" s="26">
        <f t="shared" si="12"/>
        <v>240</v>
      </c>
      <c r="G255" s="94" t="s">
        <v>262</v>
      </c>
      <c r="H255" s="31">
        <v>0</v>
      </c>
      <c r="I255" s="31">
        <v>825700</v>
      </c>
      <c r="J255" s="73">
        <v>825605.85</v>
      </c>
      <c r="K255" s="336">
        <f t="shared" si="15"/>
        <v>99.98859755359089</v>
      </c>
    </row>
    <row r="256" spans="1:11" ht="15">
      <c r="A256" s="36"/>
      <c r="B256" s="133"/>
      <c r="C256" s="133"/>
      <c r="D256" s="132"/>
      <c r="E256" s="132"/>
      <c r="F256" s="26">
        <f t="shared" si="12"/>
        <v>241</v>
      </c>
      <c r="G256" s="94" t="s">
        <v>263</v>
      </c>
      <c r="H256" s="31">
        <v>0</v>
      </c>
      <c r="I256" s="31">
        <f>0+950500-142600</f>
        <v>807900</v>
      </c>
      <c r="J256" s="73">
        <v>807884.2</v>
      </c>
      <c r="K256" s="336">
        <f>J256/I256*100</f>
        <v>99.9980443124149</v>
      </c>
    </row>
    <row r="257" spans="1:11" ht="15">
      <c r="A257" s="36"/>
      <c r="B257" s="133"/>
      <c r="C257" s="133"/>
      <c r="D257" s="132"/>
      <c r="E257" s="132"/>
      <c r="F257" s="26">
        <f t="shared" si="12"/>
        <v>242</v>
      </c>
      <c r="G257" s="94" t="s">
        <v>264</v>
      </c>
      <c r="H257" s="31">
        <v>0</v>
      </c>
      <c r="I257" s="31">
        <f>0+0+0+0+0+0+0+0+369500</f>
        <v>369500</v>
      </c>
      <c r="J257" s="73">
        <v>369427</v>
      </c>
      <c r="K257" s="336">
        <f>J257/I257*100</f>
        <v>99.98024357239514</v>
      </c>
    </row>
    <row r="258" spans="1:11" ht="15">
      <c r="A258" s="36"/>
      <c r="B258" s="133"/>
      <c r="C258" s="133"/>
      <c r="D258" s="132"/>
      <c r="E258" s="132"/>
      <c r="F258" s="26">
        <f t="shared" si="12"/>
        <v>243</v>
      </c>
      <c r="G258" s="94" t="s">
        <v>265</v>
      </c>
      <c r="H258" s="31">
        <v>0</v>
      </c>
      <c r="I258" s="31">
        <f>80000</f>
        <v>80000</v>
      </c>
      <c r="J258" s="73">
        <v>80000</v>
      </c>
      <c r="K258" s="336">
        <f>J258/I258*100</f>
        <v>100</v>
      </c>
    </row>
    <row r="259" spans="1:11" ht="15">
      <c r="A259" s="36"/>
      <c r="B259" s="133"/>
      <c r="C259" s="133"/>
      <c r="D259" s="132"/>
      <c r="E259" s="132"/>
      <c r="F259" s="26">
        <f t="shared" si="12"/>
        <v>244</v>
      </c>
      <c r="G259" s="75" t="s">
        <v>266</v>
      </c>
      <c r="H259" s="31">
        <v>430000</v>
      </c>
      <c r="I259" s="31">
        <f>430000+0+0+0+0+0+0+0+60100</f>
        <v>490100</v>
      </c>
      <c r="J259" s="150">
        <v>490057.26</v>
      </c>
      <c r="K259" s="336">
        <f>J259/I259*100</f>
        <v>99.99127933074882</v>
      </c>
    </row>
    <row r="260" spans="1:11" ht="15">
      <c r="A260" s="36"/>
      <c r="B260" s="133"/>
      <c r="C260" s="133"/>
      <c r="D260" s="132"/>
      <c r="E260" s="132"/>
      <c r="F260" s="26">
        <f t="shared" si="12"/>
        <v>245</v>
      </c>
      <c r="G260" s="94" t="s">
        <v>267</v>
      </c>
      <c r="H260" s="31">
        <v>500000</v>
      </c>
      <c r="I260" s="31">
        <f>500000+0+0+0+0+0+0+0+0+0+0+0+0+0-378700-61300</f>
        <v>60000</v>
      </c>
      <c r="J260" s="150">
        <v>0</v>
      </c>
      <c r="K260" s="336">
        <f t="shared" si="15"/>
        <v>0</v>
      </c>
    </row>
    <row r="261" spans="1:11" ht="15">
      <c r="A261" s="36"/>
      <c r="B261" s="133"/>
      <c r="C261" s="133"/>
      <c r="D261" s="134"/>
      <c r="E261" s="134"/>
      <c r="F261" s="26">
        <f t="shared" si="12"/>
        <v>246</v>
      </c>
      <c r="G261" s="94" t="s">
        <v>268</v>
      </c>
      <c r="H261" s="31">
        <v>0</v>
      </c>
      <c r="I261" s="31">
        <f>250000+160500</f>
        <v>410500</v>
      </c>
      <c r="J261" s="150">
        <v>410500</v>
      </c>
      <c r="K261" s="336">
        <f t="shared" si="15"/>
        <v>100</v>
      </c>
    </row>
    <row r="262" spans="1:11" ht="15">
      <c r="A262" s="36"/>
      <c r="B262" s="133"/>
      <c r="C262" s="133"/>
      <c r="D262" s="134"/>
      <c r="E262" s="134"/>
      <c r="F262" s="26">
        <f t="shared" si="12"/>
        <v>247</v>
      </c>
      <c r="G262" s="94"/>
      <c r="H262" s="79"/>
      <c r="I262" s="79"/>
      <c r="J262" s="79"/>
      <c r="K262" s="337"/>
    </row>
    <row r="263" spans="1:11" ht="15">
      <c r="A263" s="92" t="s">
        <v>269</v>
      </c>
      <c r="B263" s="69">
        <f>SUM(B264:B267)</f>
        <v>1225000</v>
      </c>
      <c r="C263" s="69">
        <f>SUM(C264:C267)</f>
        <v>1230700</v>
      </c>
      <c r="D263" s="70">
        <f>SUM(D264:D267)</f>
        <v>1091373.88</v>
      </c>
      <c r="E263" s="93">
        <f>D263/C263*100</f>
        <v>88.67911595027219</v>
      </c>
      <c r="F263" s="26">
        <f t="shared" si="12"/>
        <v>248</v>
      </c>
      <c r="G263" s="92" t="s">
        <v>269</v>
      </c>
      <c r="H263" s="69">
        <f>SUM(H264:H287)</f>
        <v>8510500</v>
      </c>
      <c r="I263" s="69">
        <f>SUM(I264:I287)</f>
        <v>8584500</v>
      </c>
      <c r="J263" s="70">
        <f>SUM(J264:J287)</f>
        <v>8144615.010000001</v>
      </c>
      <c r="K263" s="216">
        <f>J263/I263*100</f>
        <v>94.8758228201992</v>
      </c>
    </row>
    <row r="264" spans="1:11" ht="15">
      <c r="A264" s="94" t="s">
        <v>270</v>
      </c>
      <c r="B264" s="95">
        <v>15000</v>
      </c>
      <c r="C264" s="95">
        <v>15000</v>
      </c>
      <c r="D264" s="25">
        <v>6394.88</v>
      </c>
      <c r="E264" s="73">
        <f>D264/C264*100</f>
        <v>42.632533333333335</v>
      </c>
      <c r="F264" s="26">
        <f t="shared" si="12"/>
        <v>249</v>
      </c>
      <c r="G264" s="75" t="s">
        <v>271</v>
      </c>
      <c r="H264" s="31">
        <v>680000</v>
      </c>
      <c r="I264" s="31">
        <v>680000</v>
      </c>
      <c r="J264" s="150">
        <v>673928</v>
      </c>
      <c r="K264" s="336">
        <f aca="true" t="shared" si="16" ref="K264:K282">J264/I264*100</f>
        <v>99.10705882352941</v>
      </c>
    </row>
    <row r="265" spans="1:11" ht="15">
      <c r="A265" s="94" t="s">
        <v>272</v>
      </c>
      <c r="B265" s="95">
        <v>1200000</v>
      </c>
      <c r="C265" s="95">
        <v>1200000</v>
      </c>
      <c r="D265" s="73">
        <v>1079360</v>
      </c>
      <c r="E265" s="73">
        <f>D265/C265*100</f>
        <v>89.94666666666666</v>
      </c>
      <c r="F265" s="26">
        <f t="shared" si="12"/>
        <v>250</v>
      </c>
      <c r="G265" s="75" t="s">
        <v>273</v>
      </c>
      <c r="H265" s="31">
        <v>30000</v>
      </c>
      <c r="I265" s="31">
        <f>30000+15000</f>
        <v>45000</v>
      </c>
      <c r="J265" s="150">
        <v>43502</v>
      </c>
      <c r="K265" s="336">
        <f t="shared" si="16"/>
        <v>96.6711111111111</v>
      </c>
    </row>
    <row r="266" spans="1:11" ht="15">
      <c r="A266" s="153" t="s">
        <v>274</v>
      </c>
      <c r="B266" s="152">
        <v>0</v>
      </c>
      <c r="C266" s="152">
        <f>0+0+0+0+0+0+5700</f>
        <v>5700</v>
      </c>
      <c r="D266" s="150">
        <v>5619</v>
      </c>
      <c r="E266" s="73">
        <f>D266/C266*100</f>
        <v>98.57894736842105</v>
      </c>
      <c r="F266" s="26">
        <f t="shared" si="12"/>
        <v>251</v>
      </c>
      <c r="G266" s="75" t="s">
        <v>275</v>
      </c>
      <c r="H266" s="31">
        <v>180000</v>
      </c>
      <c r="I266" s="31">
        <v>180000</v>
      </c>
      <c r="J266" s="150">
        <v>176672</v>
      </c>
      <c r="K266" s="336">
        <f t="shared" si="16"/>
        <v>98.1511111111111</v>
      </c>
    </row>
    <row r="267" spans="1:11" ht="15">
      <c r="A267" s="94" t="s">
        <v>276</v>
      </c>
      <c r="B267" s="95">
        <v>10000</v>
      </c>
      <c r="C267" s="95">
        <v>10000</v>
      </c>
      <c r="D267" s="150">
        <v>0</v>
      </c>
      <c r="E267" s="73">
        <f>D267/C267*100</f>
        <v>0</v>
      </c>
      <c r="F267" s="26">
        <f t="shared" si="12"/>
        <v>252</v>
      </c>
      <c r="G267" s="75" t="s">
        <v>277</v>
      </c>
      <c r="H267" s="31">
        <v>64500</v>
      </c>
      <c r="I267" s="31">
        <v>64500</v>
      </c>
      <c r="J267" s="150">
        <v>63579</v>
      </c>
      <c r="K267" s="336">
        <f t="shared" si="16"/>
        <v>98.57209302325582</v>
      </c>
    </row>
    <row r="268" spans="1:11" ht="15">
      <c r="A268" s="161"/>
      <c r="B268" s="144"/>
      <c r="C268" s="144"/>
      <c r="D268" s="144"/>
      <c r="E268" s="144"/>
      <c r="F268" s="26">
        <f t="shared" si="12"/>
        <v>253</v>
      </c>
      <c r="G268" s="77" t="s">
        <v>278</v>
      </c>
      <c r="H268" s="31">
        <v>2000</v>
      </c>
      <c r="I268" s="31">
        <v>2000</v>
      </c>
      <c r="J268" s="162">
        <v>858</v>
      </c>
      <c r="K268" s="336">
        <f t="shared" si="16"/>
        <v>42.9</v>
      </c>
    </row>
    <row r="269" spans="1:11" ht="15">
      <c r="A269" s="161"/>
      <c r="B269" s="163"/>
      <c r="C269" s="163"/>
      <c r="D269" s="164"/>
      <c r="E269" s="144"/>
      <c r="F269" s="26">
        <f t="shared" si="12"/>
        <v>254</v>
      </c>
      <c r="G269" s="94" t="s">
        <v>279</v>
      </c>
      <c r="H269" s="31">
        <v>2000</v>
      </c>
      <c r="I269" s="31">
        <v>2000</v>
      </c>
      <c r="J269" s="162">
        <v>0</v>
      </c>
      <c r="K269" s="336">
        <f t="shared" si="16"/>
        <v>0</v>
      </c>
    </row>
    <row r="270" spans="1:11" ht="15">
      <c r="A270" s="161"/>
      <c r="B270" s="163"/>
      <c r="C270" s="163"/>
      <c r="D270" s="164"/>
      <c r="E270" s="144"/>
      <c r="F270" s="26">
        <f t="shared" si="12"/>
        <v>255</v>
      </c>
      <c r="G270" s="75" t="s">
        <v>280</v>
      </c>
      <c r="H270" s="31">
        <v>60000</v>
      </c>
      <c r="I270" s="31">
        <v>60000</v>
      </c>
      <c r="J270" s="150">
        <v>0</v>
      </c>
      <c r="K270" s="336">
        <f t="shared" si="16"/>
        <v>0</v>
      </c>
    </row>
    <row r="271" spans="1:11" ht="15">
      <c r="A271" s="36"/>
      <c r="B271" s="59"/>
      <c r="C271" s="59"/>
      <c r="D271" s="132"/>
      <c r="E271" s="132"/>
      <c r="F271" s="26">
        <f t="shared" si="12"/>
        <v>256</v>
      </c>
      <c r="G271" s="75" t="s">
        <v>281</v>
      </c>
      <c r="H271" s="31">
        <v>110000</v>
      </c>
      <c r="I271" s="31">
        <v>110000</v>
      </c>
      <c r="J271" s="150">
        <v>92261.99</v>
      </c>
      <c r="K271" s="336">
        <f t="shared" si="16"/>
        <v>83.87453636363637</v>
      </c>
    </row>
    <row r="272" spans="1:11" ht="15">
      <c r="A272" s="58"/>
      <c r="B272" s="144"/>
      <c r="C272" s="144"/>
      <c r="D272" s="60"/>
      <c r="E272" s="60"/>
      <c r="F272" s="26">
        <f t="shared" si="12"/>
        <v>257</v>
      </c>
      <c r="G272" s="151" t="s">
        <v>282</v>
      </c>
      <c r="H272" s="31">
        <v>50000</v>
      </c>
      <c r="I272" s="31">
        <v>50000</v>
      </c>
      <c r="J272" s="150">
        <v>31760</v>
      </c>
      <c r="K272" s="336">
        <f t="shared" si="16"/>
        <v>63.519999999999996</v>
      </c>
    </row>
    <row r="273" spans="1:11" ht="15">
      <c r="A273" s="58"/>
      <c r="B273" s="144"/>
      <c r="C273" s="144"/>
      <c r="D273" s="60"/>
      <c r="E273" s="60"/>
      <c r="F273" s="26">
        <f t="shared" si="12"/>
        <v>258</v>
      </c>
      <c r="G273" s="151" t="s">
        <v>283</v>
      </c>
      <c r="H273" s="31">
        <v>250000</v>
      </c>
      <c r="I273" s="31">
        <v>250000</v>
      </c>
      <c r="J273" s="150">
        <v>202708</v>
      </c>
      <c r="K273" s="336">
        <f t="shared" si="16"/>
        <v>81.0832</v>
      </c>
    </row>
    <row r="274" spans="1:11" ht="15">
      <c r="A274" s="58"/>
      <c r="B274" s="144"/>
      <c r="C274" s="144"/>
      <c r="D274" s="60"/>
      <c r="E274" s="60"/>
      <c r="F274" s="26">
        <f t="shared" si="12"/>
        <v>259</v>
      </c>
      <c r="G274" s="151" t="s">
        <v>284</v>
      </c>
      <c r="H274" s="31">
        <v>240000</v>
      </c>
      <c r="I274" s="31">
        <v>240000</v>
      </c>
      <c r="J274" s="150">
        <v>182947</v>
      </c>
      <c r="K274" s="336">
        <f t="shared" si="16"/>
        <v>76.22791666666666</v>
      </c>
    </row>
    <row r="275" spans="1:11" ht="15">
      <c r="A275" s="58"/>
      <c r="B275" s="144"/>
      <c r="C275" s="144"/>
      <c r="D275" s="60"/>
      <c r="E275" s="60"/>
      <c r="F275" s="26">
        <f t="shared" si="12"/>
        <v>260</v>
      </c>
      <c r="G275" s="151" t="s">
        <v>285</v>
      </c>
      <c r="H275" s="31">
        <v>15000</v>
      </c>
      <c r="I275" s="31">
        <v>15000</v>
      </c>
      <c r="J275" s="150">
        <v>9960</v>
      </c>
      <c r="K275" s="336">
        <f t="shared" si="16"/>
        <v>66.4</v>
      </c>
    </row>
    <row r="276" spans="1:11" ht="15">
      <c r="A276" s="36"/>
      <c r="B276" s="59"/>
      <c r="C276" s="59"/>
      <c r="D276" s="91"/>
      <c r="E276" s="91"/>
      <c r="F276" s="26">
        <f aca="true" t="shared" si="17" ref="F276:F339">F275+1</f>
        <v>261</v>
      </c>
      <c r="G276" s="77" t="s">
        <v>286</v>
      </c>
      <c r="H276" s="31">
        <v>10000</v>
      </c>
      <c r="I276" s="31">
        <v>10000</v>
      </c>
      <c r="J276" s="150">
        <v>5135.32</v>
      </c>
      <c r="K276" s="336">
        <f t="shared" si="16"/>
        <v>51.3532</v>
      </c>
    </row>
    <row r="277" spans="1:11" ht="15">
      <c r="A277" s="36"/>
      <c r="B277" s="59"/>
      <c r="C277" s="59"/>
      <c r="D277" s="91"/>
      <c r="E277" s="91"/>
      <c r="F277" s="26">
        <f t="shared" si="17"/>
        <v>262</v>
      </c>
      <c r="G277" s="94" t="s">
        <v>287</v>
      </c>
      <c r="H277" s="31">
        <v>0</v>
      </c>
      <c r="I277" s="31">
        <v>3500</v>
      </c>
      <c r="J277" s="150">
        <v>3500</v>
      </c>
      <c r="K277" s="336">
        <f t="shared" si="16"/>
        <v>100</v>
      </c>
    </row>
    <row r="278" spans="1:11" ht="15">
      <c r="A278" s="36"/>
      <c r="B278" s="59"/>
      <c r="C278" s="59"/>
      <c r="D278" s="91"/>
      <c r="E278" s="91"/>
      <c r="F278" s="26">
        <f t="shared" si="17"/>
        <v>263</v>
      </c>
      <c r="G278" s="165" t="s">
        <v>288</v>
      </c>
      <c r="H278" s="31">
        <v>50000</v>
      </c>
      <c r="I278" s="31">
        <f>46500+70000</f>
        <v>116500</v>
      </c>
      <c r="J278" s="150">
        <v>43448.3</v>
      </c>
      <c r="K278" s="336">
        <f t="shared" si="16"/>
        <v>37.294678111587984</v>
      </c>
    </row>
    <row r="279" spans="1:11" ht="15">
      <c r="A279" s="58"/>
      <c r="B279" s="59"/>
      <c r="C279" s="59"/>
      <c r="D279" s="60"/>
      <c r="E279" s="60"/>
      <c r="F279" s="26">
        <f t="shared" si="17"/>
        <v>264</v>
      </c>
      <c r="G279" s="165" t="s">
        <v>289</v>
      </c>
      <c r="H279" s="31">
        <v>250000</v>
      </c>
      <c r="I279" s="31">
        <f>250000-100000</f>
        <v>150000</v>
      </c>
      <c r="J279" s="150">
        <v>68159.8</v>
      </c>
      <c r="K279" s="336">
        <f t="shared" si="16"/>
        <v>45.43986666666667</v>
      </c>
    </row>
    <row r="280" spans="1:11" ht="15">
      <c r="A280" s="58"/>
      <c r="B280" s="59"/>
      <c r="C280" s="59"/>
      <c r="D280" s="60"/>
      <c r="E280" s="60"/>
      <c r="F280" s="26">
        <f t="shared" si="17"/>
        <v>265</v>
      </c>
      <c r="G280" s="75" t="s">
        <v>290</v>
      </c>
      <c r="H280" s="31">
        <v>2000</v>
      </c>
      <c r="I280" s="31">
        <v>2000</v>
      </c>
      <c r="J280" s="150">
        <v>0</v>
      </c>
      <c r="K280" s="336">
        <f t="shared" si="16"/>
        <v>0</v>
      </c>
    </row>
    <row r="281" spans="1:11" ht="15">
      <c r="A281" s="58"/>
      <c r="B281" s="59"/>
      <c r="C281" s="59"/>
      <c r="D281" s="60"/>
      <c r="E281" s="60"/>
      <c r="F281" s="26">
        <f t="shared" si="17"/>
        <v>266</v>
      </c>
      <c r="G281" s="165" t="s">
        <v>291</v>
      </c>
      <c r="H281" s="31">
        <v>10000</v>
      </c>
      <c r="I281" s="31">
        <v>10000</v>
      </c>
      <c r="J281" s="150">
        <v>5252</v>
      </c>
      <c r="K281" s="336">
        <f t="shared" si="16"/>
        <v>52.52</v>
      </c>
    </row>
    <row r="282" spans="1:11" ht="15">
      <c r="A282" s="58"/>
      <c r="B282" s="59"/>
      <c r="C282" s="59"/>
      <c r="D282" s="60"/>
      <c r="E282" s="60"/>
      <c r="F282" s="26">
        <f t="shared" si="17"/>
        <v>267</v>
      </c>
      <c r="G282" s="77" t="s">
        <v>292</v>
      </c>
      <c r="H282" s="31">
        <v>5000</v>
      </c>
      <c r="I282" s="31">
        <v>5000</v>
      </c>
      <c r="J282" s="150">
        <v>2124</v>
      </c>
      <c r="K282" s="336">
        <f t="shared" si="16"/>
        <v>42.480000000000004</v>
      </c>
    </row>
    <row r="283" spans="1:11" ht="15">
      <c r="A283" s="58"/>
      <c r="B283" s="59"/>
      <c r="C283" s="59"/>
      <c r="D283" s="60"/>
      <c r="E283" s="60"/>
      <c r="F283" s="26">
        <f t="shared" si="17"/>
        <v>268</v>
      </c>
      <c r="G283" s="94" t="s">
        <v>293</v>
      </c>
      <c r="H283" s="31">
        <v>6500000</v>
      </c>
      <c r="I283" s="31">
        <v>1705800</v>
      </c>
      <c r="J283" s="150">
        <v>1705809.6</v>
      </c>
      <c r="K283" s="336">
        <f>J283/I283*100</f>
        <v>100.00056278578965</v>
      </c>
    </row>
    <row r="284" spans="1:11" ht="15">
      <c r="A284" s="58"/>
      <c r="B284" s="59"/>
      <c r="C284" s="59"/>
      <c r="D284" s="60"/>
      <c r="E284" s="60"/>
      <c r="F284" s="26">
        <f t="shared" si="17"/>
        <v>269</v>
      </c>
      <c r="G284" s="77" t="s">
        <v>294</v>
      </c>
      <c r="H284" s="31">
        <v>0</v>
      </c>
      <c r="I284" s="31">
        <f>0+50000</f>
        <v>50000</v>
      </c>
      <c r="J284" s="150">
        <v>0</v>
      </c>
      <c r="K284" s="336">
        <f>J284/I284*100</f>
        <v>0</v>
      </c>
    </row>
    <row r="285" spans="1:11" ht="15">
      <c r="A285" s="58"/>
      <c r="B285" s="59"/>
      <c r="C285" s="59"/>
      <c r="D285" s="60"/>
      <c r="E285" s="60"/>
      <c r="F285" s="26">
        <f t="shared" si="17"/>
        <v>270</v>
      </c>
      <c r="G285" s="94" t="s">
        <v>295</v>
      </c>
      <c r="H285" s="31">
        <v>0</v>
      </c>
      <c r="I285" s="31">
        <v>483400</v>
      </c>
      <c r="J285" s="150">
        <v>483301.01</v>
      </c>
      <c r="K285" s="336">
        <f>J285/I285*100</f>
        <v>99.97952213487795</v>
      </c>
    </row>
    <row r="286" spans="1:11" ht="15">
      <c r="A286" s="58"/>
      <c r="B286" s="59"/>
      <c r="C286" s="59"/>
      <c r="D286" s="60"/>
      <c r="E286" s="60"/>
      <c r="F286" s="26">
        <f t="shared" si="17"/>
        <v>271</v>
      </c>
      <c r="G286" s="94" t="s">
        <v>296</v>
      </c>
      <c r="H286" s="31">
        <v>0</v>
      </c>
      <c r="I286" s="31">
        <v>4108100</v>
      </c>
      <c r="J286" s="150">
        <v>4108058.5</v>
      </c>
      <c r="K286" s="336">
        <f>J286/I286*100</f>
        <v>99.99898980063776</v>
      </c>
    </row>
    <row r="287" spans="1:11" ht="15">
      <c r="A287" s="58"/>
      <c r="B287" s="59"/>
      <c r="C287" s="59"/>
      <c r="D287" s="60"/>
      <c r="E287" s="60"/>
      <c r="F287" s="26">
        <f t="shared" si="17"/>
        <v>272</v>
      </c>
      <c r="G287" s="94" t="s">
        <v>297</v>
      </c>
      <c r="H287" s="31">
        <v>0</v>
      </c>
      <c r="I287" s="31">
        <v>241700</v>
      </c>
      <c r="J287" s="150">
        <v>241650.49</v>
      </c>
      <c r="K287" s="336">
        <f>J287/I287*100</f>
        <v>99.97951592883739</v>
      </c>
    </row>
    <row r="288" spans="1:11" ht="15">
      <c r="A288" s="58"/>
      <c r="B288" s="59"/>
      <c r="C288" s="59"/>
      <c r="D288" s="60"/>
      <c r="E288" s="60"/>
      <c r="F288" s="26">
        <f t="shared" si="17"/>
        <v>273</v>
      </c>
      <c r="G288" s="94"/>
      <c r="H288" s="98"/>
      <c r="I288" s="98"/>
      <c r="J288" s="158"/>
      <c r="K288" s="337"/>
    </row>
    <row r="289" spans="1:11" ht="15">
      <c r="A289" s="65"/>
      <c r="B289" s="133"/>
      <c r="C289" s="133"/>
      <c r="D289" s="134"/>
      <c r="E289" s="134"/>
      <c r="F289" s="26">
        <f t="shared" si="17"/>
        <v>274</v>
      </c>
      <c r="G289" s="92" t="s">
        <v>298</v>
      </c>
      <c r="H289" s="69">
        <f>SUM(H290:H294)</f>
        <v>32000</v>
      </c>
      <c r="I289" s="69">
        <f>SUM(I290:I294)</f>
        <v>0</v>
      </c>
      <c r="J289" s="70">
        <f>SUM(J290:J294)</f>
        <v>0</v>
      </c>
      <c r="K289" s="216" t="e">
        <f aca="true" t="shared" si="18" ref="K289:K294">J289/I289*100</f>
        <v>#DIV/0!</v>
      </c>
    </row>
    <row r="290" spans="1:11" ht="15">
      <c r="A290" s="36"/>
      <c r="B290" s="131"/>
      <c r="C290" s="131"/>
      <c r="D290" s="132"/>
      <c r="E290" s="132"/>
      <c r="F290" s="26">
        <f t="shared" si="17"/>
        <v>275</v>
      </c>
      <c r="G290" s="151" t="s">
        <v>299</v>
      </c>
      <c r="H290" s="31">
        <v>5000</v>
      </c>
      <c r="I290" s="31">
        <f>5000+0-5000</f>
        <v>0</v>
      </c>
      <c r="J290" s="73">
        <v>0</v>
      </c>
      <c r="K290" s="336" t="e">
        <f t="shared" si="18"/>
        <v>#DIV/0!</v>
      </c>
    </row>
    <row r="291" spans="1:11" ht="15">
      <c r="A291" s="36"/>
      <c r="B291" s="131"/>
      <c r="C291" s="131"/>
      <c r="D291" s="132"/>
      <c r="E291" s="132"/>
      <c r="F291" s="26">
        <f t="shared" si="17"/>
        <v>276</v>
      </c>
      <c r="G291" s="151" t="s">
        <v>300</v>
      </c>
      <c r="H291" s="31">
        <v>2000</v>
      </c>
      <c r="I291" s="31">
        <f>2000+0-2000</f>
        <v>0</v>
      </c>
      <c r="J291" s="73">
        <v>0</v>
      </c>
      <c r="K291" s="336" t="e">
        <f t="shared" si="18"/>
        <v>#DIV/0!</v>
      </c>
    </row>
    <row r="292" spans="1:11" ht="15">
      <c r="A292" s="36"/>
      <c r="B292" s="131"/>
      <c r="C292" s="131"/>
      <c r="D292" s="132"/>
      <c r="E292" s="132"/>
      <c r="F292" s="26">
        <f t="shared" si="17"/>
        <v>277</v>
      </c>
      <c r="G292" s="151" t="s">
        <v>301</v>
      </c>
      <c r="H292" s="31">
        <v>5000</v>
      </c>
      <c r="I292" s="31">
        <f>5000+0-5000</f>
        <v>0</v>
      </c>
      <c r="J292" s="73">
        <v>0</v>
      </c>
      <c r="K292" s="336" t="e">
        <f>J292/I292*100</f>
        <v>#DIV/0!</v>
      </c>
    </row>
    <row r="293" spans="1:11" ht="15">
      <c r="A293" s="58"/>
      <c r="B293" s="59"/>
      <c r="C293" s="59"/>
      <c r="D293" s="60"/>
      <c r="E293" s="60"/>
      <c r="F293" s="26">
        <f t="shared" si="17"/>
        <v>278</v>
      </c>
      <c r="G293" s="94" t="s">
        <v>302</v>
      </c>
      <c r="H293" s="31">
        <v>10000</v>
      </c>
      <c r="I293" s="31">
        <f>10000+0-10000</f>
        <v>0</v>
      </c>
      <c r="J293" s="166">
        <v>0</v>
      </c>
      <c r="K293" s="336" t="e">
        <f t="shared" si="18"/>
        <v>#DIV/0!</v>
      </c>
    </row>
    <row r="294" spans="1:11" ht="15">
      <c r="A294" s="58"/>
      <c r="B294" s="59"/>
      <c r="C294" s="59"/>
      <c r="D294" s="60"/>
      <c r="E294" s="60"/>
      <c r="F294" s="26">
        <f t="shared" si="17"/>
        <v>279</v>
      </c>
      <c r="G294" s="94" t="s">
        <v>303</v>
      </c>
      <c r="H294" s="31">
        <v>10000</v>
      </c>
      <c r="I294" s="31">
        <f>10000+0-10000</f>
        <v>0</v>
      </c>
      <c r="J294" s="150">
        <v>0</v>
      </c>
      <c r="K294" s="336" t="e">
        <f t="shared" si="18"/>
        <v>#DIV/0!</v>
      </c>
    </row>
    <row r="295" spans="1:11" ht="15">
      <c r="A295" s="36"/>
      <c r="B295" s="133"/>
      <c r="C295" s="133"/>
      <c r="D295" s="134"/>
      <c r="E295" s="134"/>
      <c r="F295" s="26">
        <f t="shared" si="17"/>
        <v>280</v>
      </c>
      <c r="G295" s="94"/>
      <c r="H295" s="98"/>
      <c r="I295" s="98"/>
      <c r="J295" s="99"/>
      <c r="K295" s="337"/>
    </row>
    <row r="296" spans="1:11" ht="15">
      <c r="A296" s="36"/>
      <c r="B296" s="133"/>
      <c r="C296" s="133"/>
      <c r="D296" s="134"/>
      <c r="E296" s="134"/>
      <c r="F296" s="26">
        <f t="shared" si="17"/>
        <v>281</v>
      </c>
      <c r="G296" s="68" t="s">
        <v>304</v>
      </c>
      <c r="H296" s="126">
        <f>H297</f>
        <v>10000</v>
      </c>
      <c r="I296" s="126">
        <f>I297</f>
        <v>10000</v>
      </c>
      <c r="J296" s="127">
        <f>J297</f>
        <v>7113</v>
      </c>
      <c r="K296" s="216">
        <f>J296/I296*100</f>
        <v>71.13000000000001</v>
      </c>
    </row>
    <row r="297" spans="1:11" ht="15">
      <c r="A297" s="36"/>
      <c r="B297" s="133"/>
      <c r="C297" s="133"/>
      <c r="D297" s="134"/>
      <c r="E297" s="134"/>
      <c r="F297" s="26">
        <f t="shared" si="17"/>
        <v>282</v>
      </c>
      <c r="G297" s="77" t="s">
        <v>305</v>
      </c>
      <c r="H297" s="31">
        <v>10000</v>
      </c>
      <c r="I297" s="31">
        <v>10000</v>
      </c>
      <c r="J297" s="25">
        <v>7113</v>
      </c>
      <c r="K297" s="336">
        <f>J297/I297*100</f>
        <v>71.13000000000001</v>
      </c>
    </row>
    <row r="298" spans="1:11" ht="15">
      <c r="A298" s="36"/>
      <c r="B298" s="133"/>
      <c r="C298" s="133"/>
      <c r="D298" s="134"/>
      <c r="E298" s="134"/>
      <c r="F298" s="26">
        <f t="shared" si="17"/>
        <v>283</v>
      </c>
      <c r="G298" s="77"/>
      <c r="H298" s="78"/>
      <c r="I298" s="78"/>
      <c r="J298" s="79"/>
      <c r="K298" s="337"/>
    </row>
    <row r="299" spans="1:11" ht="15">
      <c r="A299" s="92" t="s">
        <v>306</v>
      </c>
      <c r="B299" s="87">
        <f>SUM(B300:B301)</f>
        <v>156600</v>
      </c>
      <c r="C299" s="87">
        <f>SUM(C300:C301)</f>
        <v>544200</v>
      </c>
      <c r="D299" s="93">
        <f>SUM(D300:D301)</f>
        <v>544075.24</v>
      </c>
      <c r="E299" s="93">
        <f>D299/C299*100</f>
        <v>99.97707460492465</v>
      </c>
      <c r="F299" s="26">
        <f t="shared" si="17"/>
        <v>284</v>
      </c>
      <c r="G299" s="92" t="s">
        <v>307</v>
      </c>
      <c r="H299" s="69">
        <f>SUM(H300:H308)</f>
        <v>595000</v>
      </c>
      <c r="I299" s="69">
        <f>SUM(I300:I308)</f>
        <v>1089600</v>
      </c>
      <c r="J299" s="70">
        <f>SUM(J300:J308)</f>
        <v>1047144.61</v>
      </c>
      <c r="K299" s="216">
        <f>J299/I299*100</f>
        <v>96.10358021292217</v>
      </c>
    </row>
    <row r="300" spans="1:11" ht="15">
      <c r="A300" s="94" t="s">
        <v>308</v>
      </c>
      <c r="B300" s="95">
        <v>156600</v>
      </c>
      <c r="C300" s="95">
        <v>156600</v>
      </c>
      <c r="D300" s="73">
        <v>156528</v>
      </c>
      <c r="E300" s="73">
        <f>D300/C300*100</f>
        <v>99.95402298850574</v>
      </c>
      <c r="F300" s="26">
        <f t="shared" si="17"/>
        <v>285</v>
      </c>
      <c r="G300" s="77" t="s">
        <v>309</v>
      </c>
      <c r="H300" s="95">
        <v>0</v>
      </c>
      <c r="I300" s="95">
        <v>34500</v>
      </c>
      <c r="J300" s="73">
        <v>34500</v>
      </c>
      <c r="K300" s="336">
        <f aca="true" t="shared" si="19" ref="K300:K308">J300/I300*100</f>
        <v>100</v>
      </c>
    </row>
    <row r="301" spans="1:11" ht="15">
      <c r="A301" s="94" t="s">
        <v>310</v>
      </c>
      <c r="B301" s="95">
        <v>0</v>
      </c>
      <c r="C301" s="95">
        <f>0+0+0+0+0+0+358500+29100</f>
        <v>387600</v>
      </c>
      <c r="D301" s="73">
        <v>387547.24</v>
      </c>
      <c r="E301" s="73">
        <f>D301/C301*100</f>
        <v>99.98638802889576</v>
      </c>
      <c r="F301" s="26">
        <f t="shared" si="17"/>
        <v>286</v>
      </c>
      <c r="G301" s="165" t="s">
        <v>311</v>
      </c>
      <c r="H301" s="95">
        <v>10000</v>
      </c>
      <c r="I301" s="95">
        <v>10000</v>
      </c>
      <c r="J301" s="73">
        <v>0</v>
      </c>
      <c r="K301" s="336">
        <f t="shared" si="19"/>
        <v>0</v>
      </c>
    </row>
    <row r="302" spans="1:11" ht="15">
      <c r="A302" s="36"/>
      <c r="B302" s="131"/>
      <c r="C302" s="131"/>
      <c r="D302" s="132"/>
      <c r="E302" s="132"/>
      <c r="F302" s="26">
        <f t="shared" si="17"/>
        <v>287</v>
      </c>
      <c r="G302" s="77" t="s">
        <v>312</v>
      </c>
      <c r="H302" s="95">
        <v>10000</v>
      </c>
      <c r="I302" s="95">
        <v>10000</v>
      </c>
      <c r="J302" s="150">
        <v>6820</v>
      </c>
      <c r="K302" s="336">
        <f t="shared" si="19"/>
        <v>68.2</v>
      </c>
    </row>
    <row r="303" spans="1:11" ht="15">
      <c r="A303" s="36"/>
      <c r="B303" s="131"/>
      <c r="C303" s="131"/>
      <c r="D303" s="132"/>
      <c r="E303" s="132"/>
      <c r="F303" s="26">
        <f t="shared" si="17"/>
        <v>288</v>
      </c>
      <c r="G303" s="77" t="s">
        <v>313</v>
      </c>
      <c r="H303" s="95">
        <v>30000</v>
      </c>
      <c r="I303" s="95">
        <v>30000</v>
      </c>
      <c r="J303" s="150">
        <v>6809</v>
      </c>
      <c r="K303" s="336">
        <f t="shared" si="19"/>
        <v>22.69666666666667</v>
      </c>
    </row>
    <row r="304" spans="1:11" ht="15">
      <c r="A304" s="58"/>
      <c r="B304" s="59"/>
      <c r="C304" s="59"/>
      <c r="D304" s="57"/>
      <c r="E304" s="60"/>
      <c r="F304" s="26">
        <f t="shared" si="17"/>
        <v>289</v>
      </c>
      <c r="G304" s="94" t="s">
        <v>314</v>
      </c>
      <c r="H304" s="95">
        <v>500000</v>
      </c>
      <c r="I304" s="95">
        <f>500000-334500+0+0+34500+0+0+0+0+0-31700</f>
        <v>168300</v>
      </c>
      <c r="J304" s="150">
        <v>162338.67</v>
      </c>
      <c r="K304" s="336">
        <f t="shared" si="19"/>
        <v>96.45791443850268</v>
      </c>
    </row>
    <row r="305" spans="1:11" ht="15">
      <c r="A305" s="58"/>
      <c r="B305" s="59"/>
      <c r="C305" s="59"/>
      <c r="D305" s="57"/>
      <c r="E305" s="60"/>
      <c r="F305" s="26">
        <f t="shared" si="17"/>
        <v>290</v>
      </c>
      <c r="G305" s="77" t="s">
        <v>315</v>
      </c>
      <c r="H305" s="95">
        <v>15000</v>
      </c>
      <c r="I305" s="95">
        <v>15000</v>
      </c>
      <c r="J305" s="166">
        <v>15000</v>
      </c>
      <c r="K305" s="336">
        <f t="shared" si="19"/>
        <v>100</v>
      </c>
    </row>
    <row r="306" spans="1:11" ht="15">
      <c r="A306" s="58"/>
      <c r="B306" s="59"/>
      <c r="C306" s="59"/>
      <c r="D306" s="57"/>
      <c r="E306" s="60"/>
      <c r="F306" s="26">
        <f t="shared" si="17"/>
        <v>291</v>
      </c>
      <c r="G306" s="77" t="s">
        <v>316</v>
      </c>
      <c r="H306" s="95">
        <v>30000</v>
      </c>
      <c r="I306" s="95">
        <v>30000</v>
      </c>
      <c r="J306" s="150">
        <v>30000</v>
      </c>
      <c r="K306" s="336">
        <f t="shared" si="19"/>
        <v>100</v>
      </c>
    </row>
    <row r="307" spans="1:11" ht="15">
      <c r="A307" s="58"/>
      <c r="B307" s="59"/>
      <c r="C307" s="59"/>
      <c r="D307" s="57"/>
      <c r="E307" s="60"/>
      <c r="F307" s="26">
        <f t="shared" si="17"/>
        <v>292</v>
      </c>
      <c r="G307" s="94" t="s">
        <v>317</v>
      </c>
      <c r="H307" s="95">
        <v>0</v>
      </c>
      <c r="I307" s="95">
        <f>0+300000+0+0+400000+0+0+0+0+0+31700</f>
        <v>731700</v>
      </c>
      <c r="J307" s="150">
        <v>731622.22</v>
      </c>
      <c r="K307" s="336">
        <f t="shared" si="19"/>
        <v>99.98936996036628</v>
      </c>
    </row>
    <row r="308" spans="1:11" ht="15">
      <c r="A308" s="58"/>
      <c r="B308" s="59"/>
      <c r="C308" s="59"/>
      <c r="D308" s="57"/>
      <c r="E308" s="60"/>
      <c r="F308" s="26">
        <f t="shared" si="17"/>
        <v>293</v>
      </c>
      <c r="G308" s="94" t="s">
        <v>318</v>
      </c>
      <c r="H308" s="95">
        <v>0</v>
      </c>
      <c r="I308" s="95">
        <f>0+60100</f>
        <v>60100</v>
      </c>
      <c r="J308" s="150">
        <v>60054.72</v>
      </c>
      <c r="K308" s="336">
        <f t="shared" si="19"/>
        <v>99.92465890183028</v>
      </c>
    </row>
    <row r="309" spans="1:11" ht="15">
      <c r="A309" s="58"/>
      <c r="B309" s="59"/>
      <c r="C309" s="59"/>
      <c r="D309" s="57"/>
      <c r="E309" s="60"/>
      <c r="F309" s="26">
        <f t="shared" si="17"/>
        <v>294</v>
      </c>
      <c r="G309" s="94"/>
      <c r="H309" s="98"/>
      <c r="I309" s="98"/>
      <c r="J309" s="158"/>
      <c r="K309" s="337"/>
    </row>
    <row r="310" spans="1:11" ht="15">
      <c r="A310" s="167" t="s">
        <v>319</v>
      </c>
      <c r="B310" s="87">
        <f>SUM(B311:B312)</f>
        <v>0</v>
      </c>
      <c r="C310" s="87">
        <f>SUM(C311:C312)</f>
        <v>74300</v>
      </c>
      <c r="D310" s="93">
        <f>SUM(D311:D312)</f>
        <v>74243</v>
      </c>
      <c r="E310" s="93">
        <f>D310/C310*100</f>
        <v>99.92328398384926</v>
      </c>
      <c r="F310" s="26">
        <f t="shared" si="17"/>
        <v>295</v>
      </c>
      <c r="G310" s="167" t="s">
        <v>319</v>
      </c>
      <c r="H310" s="69">
        <f>SUM(H311:H315)</f>
        <v>0</v>
      </c>
      <c r="I310" s="69">
        <f>SUM(I311:I315)</f>
        <v>3527000</v>
      </c>
      <c r="J310" s="70">
        <f>SUM(J311:J315)</f>
        <v>3340392.38</v>
      </c>
      <c r="K310" s="216">
        <f>J310/I310*100</f>
        <v>94.70916869861071</v>
      </c>
    </row>
    <row r="311" spans="1:11" ht="15">
      <c r="A311" s="94" t="s">
        <v>320</v>
      </c>
      <c r="B311" s="23"/>
      <c r="C311" s="23">
        <f>0+61000</f>
        <v>61000</v>
      </c>
      <c r="D311" s="25">
        <v>60963</v>
      </c>
      <c r="E311" s="25">
        <f>D311/C311*100</f>
        <v>99.93934426229508</v>
      </c>
      <c r="F311" s="26">
        <f t="shared" si="17"/>
        <v>296</v>
      </c>
      <c r="G311" s="168" t="s">
        <v>321</v>
      </c>
      <c r="H311" s="169">
        <v>0</v>
      </c>
      <c r="I311" s="169">
        <f>0+0+0+0+346000+0+282400+92000</f>
        <v>720400</v>
      </c>
      <c r="J311" s="157">
        <v>720397.37</v>
      </c>
      <c r="K311" s="343">
        <f>J311/I311*100</f>
        <v>99.99963492504165</v>
      </c>
    </row>
    <row r="312" spans="1:11" ht="15">
      <c r="A312" s="94" t="s">
        <v>322</v>
      </c>
      <c r="B312" s="23"/>
      <c r="C312" s="23">
        <f>0+13300</f>
        <v>13300</v>
      </c>
      <c r="D312" s="25">
        <v>13280</v>
      </c>
      <c r="E312" s="25">
        <f>D312/C312*100</f>
        <v>99.84962406015038</v>
      </c>
      <c r="F312" s="26">
        <f t="shared" si="17"/>
        <v>297</v>
      </c>
      <c r="G312" s="77" t="s">
        <v>323</v>
      </c>
      <c r="H312" s="170">
        <v>0</v>
      </c>
      <c r="I312" s="170">
        <f>0+0+0+0+821000</f>
        <v>821000</v>
      </c>
      <c r="J312" s="150">
        <v>821000</v>
      </c>
      <c r="K312" s="336">
        <f>J312/I312*100</f>
        <v>100</v>
      </c>
    </row>
    <row r="313" spans="1:11" ht="15">
      <c r="A313" s="58"/>
      <c r="B313" s="59"/>
      <c r="C313" s="59"/>
      <c r="D313" s="57"/>
      <c r="E313" s="60"/>
      <c r="F313" s="26">
        <f t="shared" si="17"/>
        <v>298</v>
      </c>
      <c r="G313" s="168" t="s">
        <v>324</v>
      </c>
      <c r="H313" s="169">
        <v>0</v>
      </c>
      <c r="I313" s="169">
        <f>0+0+0+0+2300000+0-282400-92000</f>
        <v>1925600</v>
      </c>
      <c r="J313" s="157">
        <v>1788995.01</v>
      </c>
      <c r="K313" s="343">
        <f>J313/I313*100</f>
        <v>92.90584804736186</v>
      </c>
    </row>
    <row r="314" spans="1:11" ht="15">
      <c r="A314" s="58"/>
      <c r="B314" s="59"/>
      <c r="C314" s="59"/>
      <c r="D314" s="57"/>
      <c r="E314" s="60"/>
      <c r="F314" s="26">
        <f t="shared" si="17"/>
        <v>299</v>
      </c>
      <c r="G314" s="72" t="s">
        <v>325</v>
      </c>
      <c r="H314" s="152">
        <v>0</v>
      </c>
      <c r="I314" s="152">
        <f>0+50000</f>
        <v>50000</v>
      </c>
      <c r="J314" s="150">
        <v>0</v>
      </c>
      <c r="K314" s="336">
        <f>J314/I314*100</f>
        <v>0</v>
      </c>
    </row>
    <row r="315" spans="1:11" ht="15">
      <c r="A315" s="58"/>
      <c r="B315" s="59"/>
      <c r="C315" s="59"/>
      <c r="D315" s="57"/>
      <c r="E315" s="60"/>
      <c r="F315" s="26">
        <f t="shared" si="17"/>
        <v>300</v>
      </c>
      <c r="G315" s="77" t="s">
        <v>326</v>
      </c>
      <c r="H315" s="170">
        <v>0</v>
      </c>
      <c r="I315" s="170">
        <f>0+0+0+0+10000</f>
        <v>10000</v>
      </c>
      <c r="J315" s="150">
        <v>10000</v>
      </c>
      <c r="K315" s="336">
        <f>J315/I315*100</f>
        <v>100</v>
      </c>
    </row>
    <row r="316" spans="1:11" ht="15">
      <c r="A316" s="36"/>
      <c r="B316" s="131"/>
      <c r="C316" s="131"/>
      <c r="D316" s="132"/>
      <c r="E316" s="132"/>
      <c r="F316" s="26">
        <f t="shared" si="17"/>
        <v>301</v>
      </c>
      <c r="G316" s="94"/>
      <c r="H316" s="89"/>
      <c r="I316" s="89"/>
      <c r="J316" s="89"/>
      <c r="K316" s="337"/>
    </row>
    <row r="317" spans="1:11" ht="15">
      <c r="A317" s="36"/>
      <c r="B317" s="131"/>
      <c r="C317" s="131"/>
      <c r="D317" s="132"/>
      <c r="E317" s="132"/>
      <c r="F317" s="26">
        <f t="shared" si="17"/>
        <v>302</v>
      </c>
      <c r="G317" s="171" t="s">
        <v>327</v>
      </c>
      <c r="H317" s="69">
        <f>H318</f>
        <v>37000</v>
      </c>
      <c r="I317" s="69">
        <f>I318</f>
        <v>48000</v>
      </c>
      <c r="J317" s="70">
        <f>J318</f>
        <v>46990</v>
      </c>
      <c r="K317" s="216">
        <f>J317/I317*100</f>
        <v>97.89583333333334</v>
      </c>
    </row>
    <row r="318" spans="1:11" ht="15">
      <c r="A318" s="36"/>
      <c r="B318" s="131"/>
      <c r="C318" s="131"/>
      <c r="D318" s="132"/>
      <c r="E318" s="132"/>
      <c r="F318" s="26">
        <f t="shared" si="17"/>
        <v>303</v>
      </c>
      <c r="G318" s="77" t="s">
        <v>328</v>
      </c>
      <c r="H318" s="152">
        <v>37000</v>
      </c>
      <c r="I318" s="152">
        <f>37000+11000</f>
        <v>48000</v>
      </c>
      <c r="J318" s="150">
        <v>46990</v>
      </c>
      <c r="K318" s="336">
        <f>J318/I318*100</f>
        <v>97.89583333333334</v>
      </c>
    </row>
    <row r="319" spans="1:11" ht="15">
      <c r="A319" s="172"/>
      <c r="B319" s="173"/>
      <c r="C319" s="173"/>
      <c r="D319" s="174"/>
      <c r="E319" s="174"/>
      <c r="F319" s="26">
        <f t="shared" si="17"/>
        <v>304</v>
      </c>
      <c r="G319" s="77"/>
      <c r="H319" s="78"/>
      <c r="I319" s="78"/>
      <c r="J319" s="79"/>
      <c r="K319" s="337"/>
    </row>
    <row r="320" spans="1:11" ht="15">
      <c r="A320" s="167" t="s">
        <v>329</v>
      </c>
      <c r="B320" s="62">
        <f>SUM(B321:B323)</f>
        <v>10000</v>
      </c>
      <c r="C320" s="62">
        <f>SUM(C321:C323)</f>
        <v>5000</v>
      </c>
      <c r="D320" s="63">
        <f>SUM(D321:D323)</f>
        <v>0</v>
      </c>
      <c r="E320" s="24">
        <f>D320/C320*100</f>
        <v>0</v>
      </c>
      <c r="F320" s="26">
        <f t="shared" si="17"/>
        <v>305</v>
      </c>
      <c r="G320" s="167" t="s">
        <v>329</v>
      </c>
      <c r="H320" s="69">
        <f>SUM(H321:H328)</f>
        <v>55000</v>
      </c>
      <c r="I320" s="69">
        <f>SUM(I321:I328)</f>
        <v>65000</v>
      </c>
      <c r="J320" s="70">
        <f>SUM(J321:J328)</f>
        <v>63500</v>
      </c>
      <c r="K320" s="216">
        <f aca="true" t="shared" si="20" ref="K320:K328">J320/I320*100</f>
        <v>97.6923076923077</v>
      </c>
    </row>
    <row r="321" spans="1:11" ht="15">
      <c r="A321" s="175" t="s">
        <v>330</v>
      </c>
      <c r="B321" s="31">
        <v>5000</v>
      </c>
      <c r="C321" s="31">
        <v>5000</v>
      </c>
      <c r="D321" s="24">
        <v>0</v>
      </c>
      <c r="E321" s="24">
        <f>D321/C321*100</f>
        <v>0</v>
      </c>
      <c r="F321" s="26">
        <f t="shared" si="17"/>
        <v>306</v>
      </c>
      <c r="G321" s="77" t="s">
        <v>1088</v>
      </c>
      <c r="H321" s="152">
        <v>0</v>
      </c>
      <c r="I321" s="31">
        <v>10000</v>
      </c>
      <c r="J321" s="150">
        <v>10000</v>
      </c>
      <c r="K321" s="336">
        <f t="shared" si="20"/>
        <v>100</v>
      </c>
    </row>
    <row r="322" spans="1:11" ht="15">
      <c r="A322" s="94" t="s">
        <v>331</v>
      </c>
      <c r="B322" s="31">
        <v>5000</v>
      </c>
      <c r="C322" s="31">
        <f>5000-5000</f>
        <v>0</v>
      </c>
      <c r="D322" s="25">
        <v>0</v>
      </c>
      <c r="E322" s="24" t="e">
        <f>D322/C322*100</f>
        <v>#DIV/0!</v>
      </c>
      <c r="F322" s="26">
        <f t="shared" si="17"/>
        <v>307</v>
      </c>
      <c r="G322" s="77" t="s">
        <v>1085</v>
      </c>
      <c r="H322" s="152">
        <v>0</v>
      </c>
      <c r="I322" s="31">
        <v>14400</v>
      </c>
      <c r="J322" s="150">
        <v>14380</v>
      </c>
      <c r="K322" s="336">
        <f t="shared" si="20"/>
        <v>99.86111111111111</v>
      </c>
    </row>
    <row r="323" spans="1:11" ht="15">
      <c r="A323" s="97"/>
      <c r="B323" s="183"/>
      <c r="C323" s="183"/>
      <c r="D323" s="130"/>
      <c r="E323" s="344"/>
      <c r="F323" s="26">
        <f t="shared" si="17"/>
        <v>308</v>
      </c>
      <c r="G323" s="175" t="s">
        <v>1087</v>
      </c>
      <c r="H323" s="152">
        <v>0</v>
      </c>
      <c r="I323" s="31">
        <v>5600</v>
      </c>
      <c r="J323" s="150">
        <v>5600</v>
      </c>
      <c r="K323" s="336">
        <f t="shared" si="20"/>
        <v>100</v>
      </c>
    </row>
    <row r="324" spans="1:11" ht="15">
      <c r="A324" s="36"/>
      <c r="B324" s="177"/>
      <c r="C324" s="177"/>
      <c r="D324" s="34"/>
      <c r="E324" s="341"/>
      <c r="F324" s="26">
        <f t="shared" si="17"/>
        <v>309</v>
      </c>
      <c r="G324" s="175" t="s">
        <v>1086</v>
      </c>
      <c r="H324" s="152">
        <v>0</v>
      </c>
      <c r="I324" s="31">
        <v>15600</v>
      </c>
      <c r="J324" s="150">
        <v>15620</v>
      </c>
      <c r="K324" s="336">
        <f t="shared" si="20"/>
        <v>100.12820512820512</v>
      </c>
    </row>
    <row r="325" spans="1:11" ht="15">
      <c r="A325" s="185"/>
      <c r="B325" s="66"/>
      <c r="C325" s="66"/>
      <c r="D325" s="327"/>
      <c r="E325" s="341"/>
      <c r="F325" s="26">
        <f t="shared" si="17"/>
        <v>310</v>
      </c>
      <c r="G325" s="175" t="s">
        <v>1089</v>
      </c>
      <c r="H325" s="152">
        <v>0</v>
      </c>
      <c r="I325" s="31">
        <v>7900</v>
      </c>
      <c r="J325" s="150">
        <v>7900</v>
      </c>
      <c r="K325" s="336">
        <f t="shared" si="20"/>
        <v>100</v>
      </c>
    </row>
    <row r="326" spans="1:11" ht="15">
      <c r="A326" s="176"/>
      <c r="B326" s="177"/>
      <c r="C326" s="177"/>
      <c r="D326" s="323"/>
      <c r="E326" s="323"/>
      <c r="F326" s="26">
        <f t="shared" si="17"/>
        <v>311</v>
      </c>
      <c r="G326" s="178" t="s">
        <v>332</v>
      </c>
      <c r="H326" s="152">
        <v>10000</v>
      </c>
      <c r="I326" s="31">
        <v>10000</v>
      </c>
      <c r="J326" s="150">
        <v>10000</v>
      </c>
      <c r="K326" s="336">
        <f t="shared" si="20"/>
        <v>100</v>
      </c>
    </row>
    <row r="327" spans="1:11" ht="15">
      <c r="A327" s="36"/>
      <c r="B327" s="177"/>
      <c r="C327" s="177"/>
      <c r="D327" s="34"/>
      <c r="E327" s="323"/>
      <c r="F327" s="26">
        <f t="shared" si="17"/>
        <v>312</v>
      </c>
      <c r="G327" s="102" t="s">
        <v>333</v>
      </c>
      <c r="H327" s="152">
        <v>25000</v>
      </c>
      <c r="I327" s="31">
        <f>25000-23500</f>
        <v>1500</v>
      </c>
      <c r="J327" s="150">
        <v>0</v>
      </c>
      <c r="K327" s="336">
        <f t="shared" si="20"/>
        <v>0</v>
      </c>
    </row>
    <row r="328" spans="1:11" ht="15">
      <c r="A328" s="36"/>
      <c r="B328" s="177"/>
      <c r="C328" s="177"/>
      <c r="D328" s="34"/>
      <c r="E328" s="323"/>
      <c r="F328" s="26">
        <f t="shared" si="17"/>
        <v>313</v>
      </c>
      <c r="G328" s="102" t="s">
        <v>334</v>
      </c>
      <c r="H328" s="152">
        <v>20000</v>
      </c>
      <c r="I328" s="31">
        <v>0</v>
      </c>
      <c r="J328" s="150">
        <v>0</v>
      </c>
      <c r="K328" s="336" t="e">
        <f t="shared" si="20"/>
        <v>#DIV/0!</v>
      </c>
    </row>
    <row r="329" spans="1:11" ht="15">
      <c r="A329" s="179"/>
      <c r="B329" s="177"/>
      <c r="C329" s="177"/>
      <c r="D329" s="180"/>
      <c r="E329" s="323"/>
      <c r="F329" s="26">
        <f t="shared" si="17"/>
        <v>314</v>
      </c>
      <c r="G329" s="115"/>
      <c r="H329" s="100"/>
      <c r="I329" s="100"/>
      <c r="J329" s="101"/>
      <c r="K329" s="345"/>
    </row>
    <row r="330" spans="1:11" ht="15">
      <c r="A330" s="167" t="s">
        <v>335</v>
      </c>
      <c r="B330" s="87">
        <f>SUM(B331:B333)</f>
        <v>80000</v>
      </c>
      <c r="C330" s="87">
        <f>SUM(C331:C333)</f>
        <v>55000</v>
      </c>
      <c r="D330" s="93">
        <f>SUM(D331:D333)</f>
        <v>21432</v>
      </c>
      <c r="E330" s="63">
        <f>D330/C330*100</f>
        <v>38.96727272727273</v>
      </c>
      <c r="F330" s="26">
        <f t="shared" si="17"/>
        <v>315</v>
      </c>
      <c r="G330" s="167" t="s">
        <v>336</v>
      </c>
      <c r="H330" s="62">
        <f>SUM(H331:H343)</f>
        <v>1580000</v>
      </c>
      <c r="I330" s="62">
        <f>SUM(I331:I343)</f>
        <v>8026900</v>
      </c>
      <c r="J330" s="63">
        <f>SUM(J331:J343)</f>
        <v>7472138.64</v>
      </c>
      <c r="K330" s="216">
        <f aca="true" t="shared" si="21" ref="K330:K343">J330/I330*100</f>
        <v>93.08872217169765</v>
      </c>
    </row>
    <row r="331" spans="1:11" ht="15">
      <c r="A331" s="75" t="s">
        <v>337</v>
      </c>
      <c r="B331" s="31">
        <v>65000</v>
      </c>
      <c r="C331" s="31">
        <f>65000-25000</f>
        <v>40000</v>
      </c>
      <c r="D331" s="150">
        <v>21432</v>
      </c>
      <c r="E331" s="24">
        <f>D331/C331*100</f>
        <v>53.580000000000005</v>
      </c>
      <c r="F331" s="26">
        <f t="shared" si="17"/>
        <v>316</v>
      </c>
      <c r="G331" s="75" t="s">
        <v>338</v>
      </c>
      <c r="H331" s="31">
        <v>5000</v>
      </c>
      <c r="I331" s="31">
        <v>5000</v>
      </c>
      <c r="J331" s="150">
        <v>0</v>
      </c>
      <c r="K331" s="336">
        <f t="shared" si="21"/>
        <v>0</v>
      </c>
    </row>
    <row r="332" spans="1:11" ht="15">
      <c r="A332" s="75" t="s">
        <v>339</v>
      </c>
      <c r="B332" s="31">
        <v>15000</v>
      </c>
      <c r="C332" s="31">
        <v>15000</v>
      </c>
      <c r="D332" s="150">
        <v>0</v>
      </c>
      <c r="E332" s="181">
        <f>D332/C332*100</f>
        <v>0</v>
      </c>
      <c r="F332" s="26">
        <f t="shared" si="17"/>
        <v>317</v>
      </c>
      <c r="G332" s="182" t="s">
        <v>340</v>
      </c>
      <c r="H332" s="31">
        <v>5000</v>
      </c>
      <c r="I332" s="31">
        <v>5000</v>
      </c>
      <c r="J332" s="150">
        <v>3912</v>
      </c>
      <c r="K332" s="336">
        <f t="shared" si="21"/>
        <v>78.24</v>
      </c>
    </row>
    <row r="333" spans="1:11" ht="15">
      <c r="A333" s="122"/>
      <c r="B333" s="183"/>
      <c r="C333" s="183"/>
      <c r="D333" s="155"/>
      <c r="E333" s="184"/>
      <c r="F333" s="26">
        <f t="shared" si="17"/>
        <v>318</v>
      </c>
      <c r="G333" s="182" t="s">
        <v>341</v>
      </c>
      <c r="H333" s="31">
        <v>60000</v>
      </c>
      <c r="I333" s="31">
        <v>60000</v>
      </c>
      <c r="J333" s="150">
        <v>34588.48</v>
      </c>
      <c r="K333" s="336">
        <f t="shared" si="21"/>
        <v>57.647466666666666</v>
      </c>
    </row>
    <row r="334" spans="1:11" ht="15">
      <c r="A334" s="185"/>
      <c r="B334" s="66"/>
      <c r="C334" s="66"/>
      <c r="D334" s="174"/>
      <c r="E334" s="327"/>
      <c r="F334" s="26">
        <f t="shared" si="17"/>
        <v>319</v>
      </c>
      <c r="G334" s="77" t="s">
        <v>342</v>
      </c>
      <c r="H334" s="31">
        <v>10000</v>
      </c>
      <c r="I334" s="31">
        <v>10000</v>
      </c>
      <c r="J334" s="150">
        <v>0</v>
      </c>
      <c r="K334" s="336">
        <f t="shared" si="21"/>
        <v>0</v>
      </c>
    </row>
    <row r="335" spans="1:11" ht="15">
      <c r="A335" s="36"/>
      <c r="B335" s="177"/>
      <c r="C335" s="177"/>
      <c r="D335" s="180"/>
      <c r="E335" s="323"/>
      <c r="F335" s="26">
        <f t="shared" si="17"/>
        <v>320</v>
      </c>
      <c r="G335" s="77" t="s">
        <v>343</v>
      </c>
      <c r="H335" s="31">
        <v>500000</v>
      </c>
      <c r="I335" s="31">
        <f>500000+0-500000</f>
        <v>0</v>
      </c>
      <c r="J335" s="150">
        <v>0</v>
      </c>
      <c r="K335" s="336" t="e">
        <f t="shared" si="21"/>
        <v>#DIV/0!</v>
      </c>
    </row>
    <row r="336" spans="1:11" ht="15">
      <c r="A336" s="36"/>
      <c r="B336" s="177"/>
      <c r="C336" s="177"/>
      <c r="D336" s="180"/>
      <c r="E336" s="323"/>
      <c r="F336" s="26">
        <f t="shared" si="17"/>
        <v>321</v>
      </c>
      <c r="G336" s="149" t="s">
        <v>344</v>
      </c>
      <c r="H336" s="137">
        <v>1000000</v>
      </c>
      <c r="I336" s="137">
        <v>741000</v>
      </c>
      <c r="J336" s="157">
        <v>119890</v>
      </c>
      <c r="K336" s="343">
        <f>J336/I336*100</f>
        <v>16.17948717948718</v>
      </c>
    </row>
    <row r="337" spans="1:11" ht="15">
      <c r="A337" s="36"/>
      <c r="B337" s="177"/>
      <c r="C337" s="177"/>
      <c r="D337" s="180"/>
      <c r="E337" s="369"/>
      <c r="F337" s="26">
        <f t="shared" si="17"/>
        <v>322</v>
      </c>
      <c r="G337" s="149" t="s">
        <v>1114</v>
      </c>
      <c r="H337" s="137">
        <v>0</v>
      </c>
      <c r="I337" s="137">
        <v>120600</v>
      </c>
      <c r="J337" s="157">
        <v>0</v>
      </c>
      <c r="K337" s="343">
        <f>J337/I337*100</f>
        <v>0</v>
      </c>
    </row>
    <row r="338" spans="1:11" ht="15">
      <c r="A338" s="36"/>
      <c r="B338" s="177"/>
      <c r="C338" s="177"/>
      <c r="D338" s="180"/>
      <c r="E338" s="369"/>
      <c r="F338" s="26">
        <f t="shared" si="17"/>
        <v>323</v>
      </c>
      <c r="G338" s="149" t="s">
        <v>1115</v>
      </c>
      <c r="H338" s="137">
        <v>0</v>
      </c>
      <c r="I338" s="137">
        <v>1025000</v>
      </c>
      <c r="J338" s="157">
        <v>0</v>
      </c>
      <c r="K338" s="343">
        <f>J338/I338*100</f>
        <v>0</v>
      </c>
    </row>
    <row r="339" spans="1:11" ht="15">
      <c r="A339" s="36"/>
      <c r="B339" s="177"/>
      <c r="C339" s="177"/>
      <c r="D339" s="180"/>
      <c r="E339" s="369"/>
      <c r="F339" s="26">
        <f t="shared" si="17"/>
        <v>324</v>
      </c>
      <c r="G339" s="149" t="s">
        <v>1116</v>
      </c>
      <c r="H339" s="137">
        <v>0</v>
      </c>
      <c r="I339" s="137">
        <v>60300</v>
      </c>
      <c r="J339" s="157">
        <v>0</v>
      </c>
      <c r="K339" s="343">
        <f>J339/I339*100</f>
        <v>0</v>
      </c>
    </row>
    <row r="340" spans="1:11" ht="15">
      <c r="A340" s="36"/>
      <c r="B340" s="177"/>
      <c r="C340" s="177"/>
      <c r="D340" s="180"/>
      <c r="E340" s="323"/>
      <c r="F340" s="26">
        <f aca="true" t="shared" si="22" ref="F340:F403">F339+1</f>
        <v>325</v>
      </c>
      <c r="G340" s="77" t="s">
        <v>345</v>
      </c>
      <c r="H340" s="31">
        <v>0</v>
      </c>
      <c r="I340" s="31">
        <f>0+0+1500000+0+1000000+0+0-100000+0+0-400000+3796600-1242100-4554500</f>
        <v>0</v>
      </c>
      <c r="J340" s="150">
        <v>107877</v>
      </c>
      <c r="K340" s="336" t="e">
        <f>J340/I340*100</f>
        <v>#DIV/0!</v>
      </c>
    </row>
    <row r="341" spans="1:11" ht="15">
      <c r="A341" s="36"/>
      <c r="B341" s="177"/>
      <c r="C341" s="177"/>
      <c r="D341" s="180"/>
      <c r="E341" s="323"/>
      <c r="F341" s="26">
        <f t="shared" si="22"/>
        <v>326</v>
      </c>
      <c r="G341" s="77" t="s">
        <v>346</v>
      </c>
      <c r="H341" s="31">
        <v>0</v>
      </c>
      <c r="I341" s="31">
        <f>0+0+0+0+0+0+0+100000+500000</f>
        <v>600000</v>
      </c>
      <c r="J341" s="150">
        <v>720587.11</v>
      </c>
      <c r="K341" s="336">
        <f>J341/I341*100</f>
        <v>120.09785166666667</v>
      </c>
    </row>
    <row r="342" spans="1:11" ht="15">
      <c r="A342" s="36"/>
      <c r="B342" s="177"/>
      <c r="C342" s="177"/>
      <c r="D342" s="180"/>
      <c r="E342" s="323"/>
      <c r="F342" s="26">
        <f t="shared" si="22"/>
        <v>327</v>
      </c>
      <c r="G342" s="77" t="s">
        <v>347</v>
      </c>
      <c r="H342" s="31">
        <v>0</v>
      </c>
      <c r="I342" s="31">
        <f>0+0+0+0+0+0+0+0+0+0+350000+1119200+3630800</f>
        <v>5100000</v>
      </c>
      <c r="J342" s="150">
        <v>6124990.49</v>
      </c>
      <c r="K342" s="336">
        <f>J342/I342*100</f>
        <v>120.09785274509804</v>
      </c>
    </row>
    <row r="343" spans="1:11" ht="15">
      <c r="A343" s="36"/>
      <c r="B343" s="177"/>
      <c r="C343" s="177"/>
      <c r="D343" s="180"/>
      <c r="E343" s="323"/>
      <c r="F343" s="26">
        <f t="shared" si="22"/>
        <v>328</v>
      </c>
      <c r="G343" s="77" t="s">
        <v>348</v>
      </c>
      <c r="H343" s="31">
        <v>0</v>
      </c>
      <c r="I343" s="31">
        <f>0+0+0+0+0+0+0+0+0+0+50000+122900+127100</f>
        <v>300000</v>
      </c>
      <c r="J343" s="150">
        <v>360293.56</v>
      </c>
      <c r="K343" s="336">
        <f t="shared" si="21"/>
        <v>120.09785333333333</v>
      </c>
    </row>
    <row r="344" spans="1:11" ht="15">
      <c r="A344" s="185"/>
      <c r="B344" s="66"/>
      <c r="C344" s="66"/>
      <c r="D344" s="327"/>
      <c r="E344" s="327"/>
      <c r="F344" s="26">
        <f t="shared" si="22"/>
        <v>329</v>
      </c>
      <c r="G344" s="77"/>
      <c r="H344" s="186"/>
      <c r="I344" s="186"/>
      <c r="J344" s="158"/>
      <c r="K344" s="337"/>
    </row>
    <row r="345" spans="1:11" ht="15">
      <c r="A345" s="61" t="s">
        <v>349</v>
      </c>
      <c r="B345" s="87">
        <f>B346</f>
        <v>80000</v>
      </c>
      <c r="C345" s="87">
        <f>C346</f>
        <v>80000</v>
      </c>
      <c r="D345" s="93">
        <f>D346</f>
        <v>53745</v>
      </c>
      <c r="E345" s="93">
        <f>D345/C345*100</f>
        <v>67.18125</v>
      </c>
      <c r="F345" s="26">
        <f t="shared" si="22"/>
        <v>330</v>
      </c>
      <c r="G345" s="92" t="s">
        <v>350</v>
      </c>
      <c r="H345" s="69">
        <f>SUM(H346:H366)</f>
        <v>1278000</v>
      </c>
      <c r="I345" s="69">
        <f>SUM(I346:I366)</f>
        <v>1323000</v>
      </c>
      <c r="J345" s="70">
        <f>SUM(J346:J366)</f>
        <v>1176686.1500000001</v>
      </c>
      <c r="K345" s="216">
        <f aca="true" t="shared" si="23" ref="K345:K366">J345/I345*100</f>
        <v>88.94075207860924</v>
      </c>
    </row>
    <row r="346" spans="1:11" ht="15">
      <c r="A346" s="129" t="s">
        <v>351</v>
      </c>
      <c r="B346" s="23">
        <v>80000</v>
      </c>
      <c r="C346" s="23">
        <v>80000</v>
      </c>
      <c r="D346" s="25">
        <v>53745</v>
      </c>
      <c r="E346" s="25">
        <f>D346/C346*100</f>
        <v>67.18125</v>
      </c>
      <c r="F346" s="26">
        <f t="shared" si="22"/>
        <v>331</v>
      </c>
      <c r="G346" s="77" t="s">
        <v>352</v>
      </c>
      <c r="H346" s="31">
        <v>520000</v>
      </c>
      <c r="I346" s="31">
        <v>520000</v>
      </c>
      <c r="J346" s="150">
        <v>518274</v>
      </c>
      <c r="K346" s="336">
        <f t="shared" si="23"/>
        <v>99.66807692307692</v>
      </c>
    </row>
    <row r="347" spans="1:11" ht="15">
      <c r="A347" s="36"/>
      <c r="B347" s="91"/>
      <c r="C347" s="91"/>
      <c r="D347" s="34"/>
      <c r="E347" s="34"/>
      <c r="F347" s="26">
        <f t="shared" si="22"/>
        <v>332</v>
      </c>
      <c r="G347" s="77" t="s">
        <v>353</v>
      </c>
      <c r="H347" s="31">
        <v>50000</v>
      </c>
      <c r="I347" s="31">
        <v>50000</v>
      </c>
      <c r="J347" s="150">
        <v>45365</v>
      </c>
      <c r="K347" s="336">
        <f t="shared" si="23"/>
        <v>90.73</v>
      </c>
    </row>
    <row r="348" spans="1:11" ht="15">
      <c r="A348" s="36"/>
      <c r="B348" s="91"/>
      <c r="C348" s="91"/>
      <c r="D348" s="34"/>
      <c r="E348" s="34"/>
      <c r="F348" s="26">
        <f t="shared" si="22"/>
        <v>333</v>
      </c>
      <c r="G348" s="77" t="s">
        <v>354</v>
      </c>
      <c r="H348" s="31">
        <v>126000</v>
      </c>
      <c r="I348" s="31">
        <v>134600</v>
      </c>
      <c r="J348" s="150">
        <v>134573</v>
      </c>
      <c r="K348" s="336">
        <f t="shared" si="23"/>
        <v>99.97994056463597</v>
      </c>
    </row>
    <row r="349" spans="1:11" ht="15">
      <c r="A349" s="36"/>
      <c r="B349" s="91"/>
      <c r="C349" s="91"/>
      <c r="D349" s="34"/>
      <c r="E349" s="91"/>
      <c r="F349" s="26">
        <f t="shared" si="22"/>
        <v>334</v>
      </c>
      <c r="G349" s="77" t="s">
        <v>355</v>
      </c>
      <c r="H349" s="31">
        <v>45500</v>
      </c>
      <c r="I349" s="31">
        <v>48500</v>
      </c>
      <c r="J349" s="150">
        <v>48416</v>
      </c>
      <c r="K349" s="336">
        <f t="shared" si="23"/>
        <v>99.82680412371134</v>
      </c>
    </row>
    <row r="350" spans="1:11" ht="15">
      <c r="A350" s="36"/>
      <c r="B350" s="91"/>
      <c r="C350" s="91"/>
      <c r="D350" s="34"/>
      <c r="E350" s="91"/>
      <c r="F350" s="26">
        <f t="shared" si="22"/>
        <v>335</v>
      </c>
      <c r="G350" s="77" t="s">
        <v>356</v>
      </c>
      <c r="H350" s="31">
        <v>200000</v>
      </c>
      <c r="I350" s="31">
        <v>202200</v>
      </c>
      <c r="J350" s="150">
        <v>202121.66</v>
      </c>
      <c r="K350" s="336">
        <f t="shared" si="23"/>
        <v>99.96125618199802</v>
      </c>
    </row>
    <row r="351" spans="1:11" ht="15">
      <c r="A351" s="36"/>
      <c r="B351" s="91"/>
      <c r="C351" s="91"/>
      <c r="D351" s="34"/>
      <c r="E351" s="34"/>
      <c r="F351" s="26">
        <f t="shared" si="22"/>
        <v>336</v>
      </c>
      <c r="G351" s="77" t="s">
        <v>357</v>
      </c>
      <c r="H351" s="31">
        <v>10000</v>
      </c>
      <c r="I351" s="31">
        <f>10000+0+0+0+0+0+0+0+0+0+140000</f>
        <v>150000</v>
      </c>
      <c r="J351" s="150">
        <v>89650</v>
      </c>
      <c r="K351" s="336">
        <f t="shared" si="23"/>
        <v>59.766666666666666</v>
      </c>
    </row>
    <row r="352" spans="1:11" ht="15">
      <c r="A352" s="36"/>
      <c r="B352" s="91"/>
      <c r="C352" s="91"/>
      <c r="D352" s="34"/>
      <c r="E352" s="34"/>
      <c r="F352" s="26">
        <f t="shared" si="22"/>
        <v>337</v>
      </c>
      <c r="G352" s="77" t="s">
        <v>358</v>
      </c>
      <c r="H352" s="31">
        <v>10000</v>
      </c>
      <c r="I352" s="31">
        <f>10000+0+0+0+0+0+0+0+0+0+10000</f>
        <v>20000</v>
      </c>
      <c r="J352" s="150">
        <v>14644</v>
      </c>
      <c r="K352" s="336">
        <f t="shared" si="23"/>
        <v>73.22</v>
      </c>
    </row>
    <row r="353" spans="1:11" ht="15">
      <c r="A353" s="36"/>
      <c r="B353" s="91"/>
      <c r="C353" s="91"/>
      <c r="D353" s="34"/>
      <c r="E353" s="34"/>
      <c r="F353" s="26">
        <f t="shared" si="22"/>
        <v>338</v>
      </c>
      <c r="G353" s="77" t="s">
        <v>359</v>
      </c>
      <c r="H353" s="31">
        <v>95000</v>
      </c>
      <c r="I353" s="31">
        <v>81200</v>
      </c>
      <c r="J353" s="150">
        <v>77098.57</v>
      </c>
      <c r="K353" s="336">
        <f t="shared" si="23"/>
        <v>94.94897783251233</v>
      </c>
    </row>
    <row r="354" spans="1:11" ht="15">
      <c r="A354" s="36"/>
      <c r="B354" s="91"/>
      <c r="C354" s="91"/>
      <c r="D354" s="34"/>
      <c r="E354" s="34"/>
      <c r="F354" s="26">
        <f t="shared" si="22"/>
        <v>339</v>
      </c>
      <c r="G354" s="77" t="s">
        <v>360</v>
      </c>
      <c r="H354" s="31">
        <v>1000</v>
      </c>
      <c r="I354" s="31">
        <v>1000</v>
      </c>
      <c r="J354" s="150">
        <v>70.2</v>
      </c>
      <c r="K354" s="336">
        <f t="shared" si="23"/>
        <v>7.02</v>
      </c>
    </row>
    <row r="355" spans="1:11" ht="15">
      <c r="A355" s="36"/>
      <c r="B355" s="91"/>
      <c r="C355" s="91"/>
      <c r="D355" s="34"/>
      <c r="E355" s="34"/>
      <c r="F355" s="26">
        <f t="shared" si="22"/>
        <v>340</v>
      </c>
      <c r="G355" s="77" t="s">
        <v>361</v>
      </c>
      <c r="H355" s="31">
        <v>5000</v>
      </c>
      <c r="I355" s="31">
        <v>5000</v>
      </c>
      <c r="J355" s="150">
        <v>1832.72</v>
      </c>
      <c r="K355" s="336">
        <f t="shared" si="23"/>
        <v>36.654399999999995</v>
      </c>
    </row>
    <row r="356" spans="1:11" ht="15">
      <c r="A356" s="36"/>
      <c r="B356" s="91"/>
      <c r="C356" s="91"/>
      <c r="D356" s="34"/>
      <c r="E356" s="34"/>
      <c r="F356" s="26">
        <f t="shared" si="22"/>
        <v>341</v>
      </c>
      <c r="G356" s="94" t="s">
        <v>362</v>
      </c>
      <c r="H356" s="31">
        <v>1000</v>
      </c>
      <c r="I356" s="31">
        <v>1000</v>
      </c>
      <c r="J356" s="150">
        <v>0</v>
      </c>
      <c r="K356" s="336">
        <f t="shared" si="23"/>
        <v>0</v>
      </c>
    </row>
    <row r="357" spans="1:11" ht="15">
      <c r="A357" s="36"/>
      <c r="B357" s="91"/>
      <c r="C357" s="91"/>
      <c r="D357" s="34"/>
      <c r="E357" s="34"/>
      <c r="F357" s="26">
        <f t="shared" si="22"/>
        <v>342</v>
      </c>
      <c r="G357" s="77" t="s">
        <v>363</v>
      </c>
      <c r="H357" s="31">
        <v>26000</v>
      </c>
      <c r="I357" s="31">
        <v>26000</v>
      </c>
      <c r="J357" s="150">
        <v>6804</v>
      </c>
      <c r="K357" s="336">
        <f t="shared" si="23"/>
        <v>26.169230769230765</v>
      </c>
    </row>
    <row r="358" spans="1:11" ht="15">
      <c r="A358" s="36"/>
      <c r="B358" s="91"/>
      <c r="C358" s="91"/>
      <c r="D358" s="34"/>
      <c r="E358" s="34"/>
      <c r="F358" s="26">
        <f t="shared" si="22"/>
        <v>343</v>
      </c>
      <c r="G358" s="77" t="s">
        <v>364</v>
      </c>
      <c r="H358" s="31">
        <v>15000</v>
      </c>
      <c r="I358" s="31">
        <v>15000</v>
      </c>
      <c r="J358" s="150">
        <v>5345</v>
      </c>
      <c r="K358" s="336">
        <f t="shared" si="23"/>
        <v>35.63333333333333</v>
      </c>
    </row>
    <row r="359" spans="1:11" ht="15">
      <c r="A359" s="36"/>
      <c r="B359" s="91"/>
      <c r="C359" s="91"/>
      <c r="D359" s="34"/>
      <c r="E359" s="34"/>
      <c r="F359" s="26">
        <f t="shared" si="22"/>
        <v>344</v>
      </c>
      <c r="G359" s="77" t="s">
        <v>365</v>
      </c>
      <c r="H359" s="31">
        <v>5000</v>
      </c>
      <c r="I359" s="31">
        <f>5000+0+0+0-5000</f>
        <v>0</v>
      </c>
      <c r="J359" s="150">
        <v>0</v>
      </c>
      <c r="K359" s="336" t="e">
        <f t="shared" si="23"/>
        <v>#DIV/0!</v>
      </c>
    </row>
    <row r="360" spans="1:11" ht="15">
      <c r="A360" s="36"/>
      <c r="B360" s="91"/>
      <c r="C360" s="91"/>
      <c r="D360" s="34"/>
      <c r="E360" s="34"/>
      <c r="F360" s="26">
        <f t="shared" si="22"/>
        <v>345</v>
      </c>
      <c r="G360" s="77" t="s">
        <v>366</v>
      </c>
      <c r="H360" s="31">
        <v>0</v>
      </c>
      <c r="I360" s="31">
        <f>0+50000</f>
        <v>50000</v>
      </c>
      <c r="J360" s="150">
        <v>24200</v>
      </c>
      <c r="K360" s="336">
        <f t="shared" si="23"/>
        <v>48.4</v>
      </c>
    </row>
    <row r="361" spans="1:11" ht="15">
      <c r="A361" s="36"/>
      <c r="B361" s="91"/>
      <c r="C361" s="91"/>
      <c r="D361" s="34"/>
      <c r="E361" s="34"/>
      <c r="F361" s="26">
        <f t="shared" si="22"/>
        <v>346</v>
      </c>
      <c r="G361" s="77" t="s">
        <v>367</v>
      </c>
      <c r="H361" s="31">
        <v>5000</v>
      </c>
      <c r="I361" s="31">
        <v>5000</v>
      </c>
      <c r="J361" s="150">
        <v>1508</v>
      </c>
      <c r="K361" s="336">
        <f t="shared" si="23"/>
        <v>30.159999999999997</v>
      </c>
    </row>
    <row r="362" spans="1:11" ht="15">
      <c r="A362" s="36"/>
      <c r="B362" s="91"/>
      <c r="C362" s="91"/>
      <c r="D362" s="34"/>
      <c r="E362" s="34"/>
      <c r="F362" s="26">
        <f t="shared" si="22"/>
        <v>347</v>
      </c>
      <c r="G362" s="77" t="s">
        <v>368</v>
      </c>
      <c r="H362" s="31">
        <v>5000</v>
      </c>
      <c r="I362" s="31">
        <v>5000</v>
      </c>
      <c r="J362" s="150">
        <v>1466</v>
      </c>
      <c r="K362" s="336">
        <f t="shared" si="23"/>
        <v>29.32</v>
      </c>
    </row>
    <row r="363" spans="1:11" ht="15">
      <c r="A363" s="36"/>
      <c r="B363" s="91"/>
      <c r="C363" s="91"/>
      <c r="D363" s="34"/>
      <c r="E363" s="34"/>
      <c r="F363" s="26">
        <f t="shared" si="22"/>
        <v>348</v>
      </c>
      <c r="G363" s="77" t="s">
        <v>369</v>
      </c>
      <c r="H363" s="31">
        <v>1000</v>
      </c>
      <c r="I363" s="31">
        <v>1000</v>
      </c>
      <c r="J363" s="150">
        <v>0</v>
      </c>
      <c r="K363" s="336">
        <f t="shared" si="23"/>
        <v>0</v>
      </c>
    </row>
    <row r="364" spans="1:11" ht="15">
      <c r="A364" s="36"/>
      <c r="B364" s="91"/>
      <c r="C364" s="91"/>
      <c r="D364" s="34"/>
      <c r="E364" s="34"/>
      <c r="F364" s="26">
        <f t="shared" si="22"/>
        <v>349</v>
      </c>
      <c r="G364" s="77" t="s">
        <v>370</v>
      </c>
      <c r="H364" s="31">
        <v>1500</v>
      </c>
      <c r="I364" s="31">
        <v>1500</v>
      </c>
      <c r="J364" s="150">
        <v>1100</v>
      </c>
      <c r="K364" s="336">
        <f t="shared" si="23"/>
        <v>73.33333333333333</v>
      </c>
    </row>
    <row r="365" spans="1:11" ht="15">
      <c r="A365" s="36"/>
      <c r="B365" s="91"/>
      <c r="C365" s="91"/>
      <c r="D365" s="34"/>
      <c r="E365" s="34"/>
      <c r="F365" s="26">
        <f t="shared" si="22"/>
        <v>350</v>
      </c>
      <c r="G365" s="77" t="s">
        <v>371</v>
      </c>
      <c r="H365" s="31">
        <v>6000</v>
      </c>
      <c r="I365" s="31">
        <v>6000</v>
      </c>
      <c r="J365" s="150">
        <v>4218</v>
      </c>
      <c r="K365" s="336">
        <f t="shared" si="23"/>
        <v>70.3</v>
      </c>
    </row>
    <row r="366" spans="1:11" ht="15">
      <c r="A366" s="36"/>
      <c r="B366" s="91"/>
      <c r="C366" s="91"/>
      <c r="D366" s="34"/>
      <c r="E366" s="34"/>
      <c r="F366" s="26">
        <f t="shared" si="22"/>
        <v>351</v>
      </c>
      <c r="G366" s="77" t="s">
        <v>372</v>
      </c>
      <c r="H366" s="31">
        <v>150000</v>
      </c>
      <c r="I366" s="31">
        <f>150000+0+0+0+0+0+0+0+0+0-150000</f>
        <v>0</v>
      </c>
      <c r="J366" s="150">
        <v>0</v>
      </c>
      <c r="K366" s="336" t="e">
        <f t="shared" si="23"/>
        <v>#DIV/0!</v>
      </c>
    </row>
    <row r="367" spans="1:11" ht="15">
      <c r="A367" s="187"/>
      <c r="B367" s="188"/>
      <c r="C367" s="188"/>
      <c r="D367" s="189"/>
      <c r="E367" s="189"/>
      <c r="F367" s="26">
        <f t="shared" si="22"/>
        <v>352</v>
      </c>
      <c r="G367" s="77"/>
      <c r="H367" s="78"/>
      <c r="I367" s="78"/>
      <c r="J367" s="79"/>
      <c r="K367" s="337"/>
    </row>
    <row r="368" spans="1:11" ht="15">
      <c r="A368" s="50"/>
      <c r="B368" s="190"/>
      <c r="C368" s="190"/>
      <c r="D368" s="180"/>
      <c r="E368" s="180"/>
      <c r="F368" s="26">
        <f t="shared" si="22"/>
        <v>353</v>
      </c>
      <c r="G368" s="68" t="s">
        <v>373</v>
      </c>
      <c r="H368" s="62">
        <f>SUM(H369:H369)</f>
        <v>10000</v>
      </c>
      <c r="I368" s="62">
        <f>SUM(I369:I369)</f>
        <v>10000</v>
      </c>
      <c r="J368" s="63">
        <f>SUM(J369:J369)</f>
        <v>10000</v>
      </c>
      <c r="K368" s="216">
        <f>J368/I368*100</f>
        <v>100</v>
      </c>
    </row>
    <row r="369" spans="1:11" ht="15">
      <c r="A369" s="187"/>
      <c r="B369" s="188"/>
      <c r="C369" s="188"/>
      <c r="D369" s="189"/>
      <c r="E369" s="189"/>
      <c r="F369" s="26">
        <f t="shared" si="22"/>
        <v>354</v>
      </c>
      <c r="G369" s="77" t="s">
        <v>374</v>
      </c>
      <c r="H369" s="23">
        <v>10000</v>
      </c>
      <c r="I369" s="23">
        <f>0+0+0+0+10000</f>
        <v>10000</v>
      </c>
      <c r="J369" s="25">
        <v>10000</v>
      </c>
      <c r="K369" s="336">
        <f>J369/I369*100</f>
        <v>100</v>
      </c>
    </row>
    <row r="370" spans="1:11" ht="15">
      <c r="A370" s="187"/>
      <c r="B370" s="188"/>
      <c r="C370" s="188"/>
      <c r="D370" s="189"/>
      <c r="E370" s="189"/>
      <c r="F370" s="26">
        <f t="shared" si="22"/>
        <v>355</v>
      </c>
      <c r="G370" s="77"/>
      <c r="H370" s="78"/>
      <c r="I370" s="78"/>
      <c r="J370" s="79"/>
      <c r="K370" s="337"/>
    </row>
    <row r="371" spans="1:11" ht="15">
      <c r="A371" s="36"/>
      <c r="B371" s="91"/>
      <c r="C371" s="91"/>
      <c r="D371" s="34"/>
      <c r="E371" s="34"/>
      <c r="F371" s="26">
        <f t="shared" si="22"/>
        <v>356</v>
      </c>
      <c r="G371" s="68" t="s">
        <v>375</v>
      </c>
      <c r="H371" s="62">
        <f>SUM(H372:H377)</f>
        <v>56000</v>
      </c>
      <c r="I371" s="62">
        <f>SUM(I372:I377)</f>
        <v>56000</v>
      </c>
      <c r="J371" s="63">
        <f>SUM(J372:J377)</f>
        <v>35937</v>
      </c>
      <c r="K371" s="216">
        <f aca="true" t="shared" si="24" ref="K371:K381">J371/I371*100</f>
        <v>64.17321428571428</v>
      </c>
    </row>
    <row r="372" spans="1:11" ht="15">
      <c r="A372" s="36"/>
      <c r="B372" s="91"/>
      <c r="C372" s="91"/>
      <c r="D372" s="34"/>
      <c r="E372" s="34"/>
      <c r="F372" s="26">
        <f t="shared" si="22"/>
        <v>357</v>
      </c>
      <c r="G372" s="77" t="s">
        <v>376</v>
      </c>
      <c r="H372" s="31">
        <v>20000</v>
      </c>
      <c r="I372" s="31">
        <v>20000</v>
      </c>
      <c r="J372" s="24">
        <v>11815</v>
      </c>
      <c r="K372" s="336">
        <f t="shared" si="24"/>
        <v>59.075</v>
      </c>
    </row>
    <row r="373" spans="1:11" ht="15">
      <c r="A373" s="36"/>
      <c r="B373" s="91"/>
      <c r="C373" s="91"/>
      <c r="D373" s="34"/>
      <c r="E373" s="34"/>
      <c r="F373" s="26">
        <f t="shared" si="22"/>
        <v>358</v>
      </c>
      <c r="G373" s="77" t="s">
        <v>377</v>
      </c>
      <c r="H373" s="31">
        <v>5000</v>
      </c>
      <c r="I373" s="31">
        <v>5000</v>
      </c>
      <c r="J373" s="25">
        <v>0</v>
      </c>
      <c r="K373" s="336">
        <f t="shared" si="24"/>
        <v>0</v>
      </c>
    </row>
    <row r="374" spans="1:11" ht="15">
      <c r="A374" s="36"/>
      <c r="B374" s="91"/>
      <c r="C374" s="91"/>
      <c r="D374" s="34"/>
      <c r="E374" s="34"/>
      <c r="F374" s="26">
        <f t="shared" si="22"/>
        <v>359</v>
      </c>
      <c r="G374" s="77" t="s">
        <v>136</v>
      </c>
      <c r="H374" s="31">
        <v>5000</v>
      </c>
      <c r="I374" s="31">
        <v>4800</v>
      </c>
      <c r="J374" s="25">
        <v>2967</v>
      </c>
      <c r="K374" s="336">
        <f t="shared" si="24"/>
        <v>61.8125</v>
      </c>
    </row>
    <row r="375" spans="1:11" ht="15">
      <c r="A375" s="36"/>
      <c r="B375" s="91"/>
      <c r="C375" s="91"/>
      <c r="D375" s="34"/>
      <c r="E375" s="34"/>
      <c r="F375" s="26">
        <f t="shared" si="22"/>
        <v>360</v>
      </c>
      <c r="G375" s="77" t="s">
        <v>116</v>
      </c>
      <c r="H375" s="31">
        <v>5000</v>
      </c>
      <c r="I375" s="31">
        <v>5000</v>
      </c>
      <c r="J375" s="25">
        <v>0</v>
      </c>
      <c r="K375" s="336">
        <f t="shared" si="24"/>
        <v>0</v>
      </c>
    </row>
    <row r="376" spans="1:11" ht="15">
      <c r="A376" s="36"/>
      <c r="B376" s="91"/>
      <c r="C376" s="91"/>
      <c r="D376" s="34"/>
      <c r="E376" s="34"/>
      <c r="F376" s="26">
        <f t="shared" si="22"/>
        <v>361</v>
      </c>
      <c r="G376" s="77" t="s">
        <v>378</v>
      </c>
      <c r="H376" s="31">
        <v>1000</v>
      </c>
      <c r="I376" s="31">
        <v>1200</v>
      </c>
      <c r="J376" s="25">
        <v>1155</v>
      </c>
      <c r="K376" s="336">
        <f t="shared" si="24"/>
        <v>96.25</v>
      </c>
    </row>
    <row r="377" spans="1:11" ht="15">
      <c r="A377" s="36"/>
      <c r="B377" s="91"/>
      <c r="C377" s="91"/>
      <c r="D377" s="34"/>
      <c r="E377" s="34"/>
      <c r="F377" s="26">
        <f t="shared" si="22"/>
        <v>362</v>
      </c>
      <c r="G377" s="77" t="s">
        <v>379</v>
      </c>
      <c r="H377" s="31">
        <v>20000</v>
      </c>
      <c r="I377" s="31">
        <v>20000</v>
      </c>
      <c r="J377" s="25">
        <v>20000</v>
      </c>
      <c r="K377" s="336">
        <f t="shared" si="24"/>
        <v>100</v>
      </c>
    </row>
    <row r="378" spans="1:11" ht="15">
      <c r="A378" s="36"/>
      <c r="B378" s="91"/>
      <c r="C378" s="91"/>
      <c r="D378" s="34"/>
      <c r="E378" s="34"/>
      <c r="F378" s="26">
        <f t="shared" si="22"/>
        <v>363</v>
      </c>
      <c r="G378" s="77"/>
      <c r="H378" s="78"/>
      <c r="I378" s="78"/>
      <c r="J378" s="79"/>
      <c r="K378" s="337"/>
    </row>
    <row r="379" spans="1:11" ht="15">
      <c r="A379" s="36"/>
      <c r="B379" s="91"/>
      <c r="C379" s="91"/>
      <c r="D379" s="34"/>
      <c r="E379" s="34"/>
      <c r="F379" s="26">
        <f t="shared" si="22"/>
        <v>364</v>
      </c>
      <c r="G379" s="191" t="s">
        <v>380</v>
      </c>
      <c r="H379" s="62">
        <f>SUM(H380:H381)</f>
        <v>36000</v>
      </c>
      <c r="I379" s="62">
        <f>SUM(I380:I381)</f>
        <v>36000</v>
      </c>
      <c r="J379" s="63">
        <f>SUM(J380:J381)</f>
        <v>5220</v>
      </c>
      <c r="K379" s="336">
        <f t="shared" si="24"/>
        <v>14.499999999999998</v>
      </c>
    </row>
    <row r="380" spans="1:11" ht="15">
      <c r="A380" s="36"/>
      <c r="B380" s="91"/>
      <c r="C380" s="91"/>
      <c r="D380" s="34"/>
      <c r="E380" s="34"/>
      <c r="F380" s="26">
        <f t="shared" si="22"/>
        <v>365</v>
      </c>
      <c r="G380" s="77" t="s">
        <v>381</v>
      </c>
      <c r="H380" s="31">
        <v>36000</v>
      </c>
      <c r="I380" s="31">
        <f>36000+0+0+0-5100-200</f>
        <v>30700</v>
      </c>
      <c r="J380" s="25">
        <v>0</v>
      </c>
      <c r="K380" s="336">
        <f t="shared" si="24"/>
        <v>0</v>
      </c>
    </row>
    <row r="381" spans="1:11" ht="15">
      <c r="A381" s="36"/>
      <c r="B381" s="91"/>
      <c r="C381" s="91"/>
      <c r="D381" s="34"/>
      <c r="E381" s="34"/>
      <c r="F381" s="26">
        <f t="shared" si="22"/>
        <v>366</v>
      </c>
      <c r="G381" s="77" t="s">
        <v>136</v>
      </c>
      <c r="H381" s="31">
        <v>0</v>
      </c>
      <c r="I381" s="31">
        <f>0+0+0+0+5100+200</f>
        <v>5300</v>
      </c>
      <c r="J381" s="25">
        <v>5220</v>
      </c>
      <c r="K381" s="336">
        <f t="shared" si="24"/>
        <v>98.49056603773585</v>
      </c>
    </row>
    <row r="382" spans="1:11" ht="15">
      <c r="A382" s="36"/>
      <c r="B382" s="91"/>
      <c r="C382" s="91"/>
      <c r="D382" s="34"/>
      <c r="E382" s="34"/>
      <c r="F382" s="26">
        <f t="shared" si="22"/>
        <v>367</v>
      </c>
      <c r="G382" s="77"/>
      <c r="H382" s="78"/>
      <c r="I382" s="78"/>
      <c r="J382" s="79"/>
      <c r="K382" s="337"/>
    </row>
    <row r="383" spans="1:11" ht="15">
      <c r="A383" s="36"/>
      <c r="B383" s="91"/>
      <c r="C383" s="91"/>
      <c r="D383" s="34"/>
      <c r="E383" s="34"/>
      <c r="F383" s="26">
        <f t="shared" si="22"/>
        <v>368</v>
      </c>
      <c r="G383" s="191" t="s">
        <v>382</v>
      </c>
      <c r="H383" s="62">
        <f>SUM(H384:H389)</f>
        <v>640000</v>
      </c>
      <c r="I383" s="62">
        <f>SUM(I384:I389)</f>
        <v>240000</v>
      </c>
      <c r="J383" s="63">
        <f>SUM(J384:J389)</f>
        <v>190000</v>
      </c>
      <c r="K383" s="216">
        <f aca="true" t="shared" si="25" ref="K383:K389">J383/I383*100</f>
        <v>79.16666666666666</v>
      </c>
    </row>
    <row r="384" spans="1:11" ht="15">
      <c r="A384" s="36"/>
      <c r="B384" s="91"/>
      <c r="C384" s="91"/>
      <c r="D384" s="34"/>
      <c r="E384" s="34"/>
      <c r="F384" s="26">
        <f t="shared" si="22"/>
        <v>369</v>
      </c>
      <c r="G384" s="128" t="s">
        <v>383</v>
      </c>
      <c r="H384" s="31">
        <v>100000</v>
      </c>
      <c r="I384" s="31">
        <f>100000-100000</f>
        <v>0</v>
      </c>
      <c r="J384" s="150">
        <v>0</v>
      </c>
      <c r="K384" s="336" t="e">
        <f t="shared" si="25"/>
        <v>#DIV/0!</v>
      </c>
    </row>
    <row r="385" spans="1:11" ht="15">
      <c r="A385" s="36"/>
      <c r="B385" s="91"/>
      <c r="C385" s="91"/>
      <c r="D385" s="34"/>
      <c r="E385" s="34"/>
      <c r="F385" s="26">
        <f t="shared" si="22"/>
        <v>370</v>
      </c>
      <c r="G385" s="77" t="s">
        <v>384</v>
      </c>
      <c r="H385" s="31">
        <v>160000</v>
      </c>
      <c r="I385" s="31">
        <f>100000+0-84500</f>
        <v>15500</v>
      </c>
      <c r="J385" s="150">
        <v>15500</v>
      </c>
      <c r="K385" s="336">
        <f t="shared" si="25"/>
        <v>100</v>
      </c>
    </row>
    <row r="386" spans="1:11" ht="15">
      <c r="A386" s="36"/>
      <c r="B386" s="91"/>
      <c r="C386" s="91"/>
      <c r="D386" s="34"/>
      <c r="E386" s="34"/>
      <c r="F386" s="26">
        <f t="shared" si="22"/>
        <v>371</v>
      </c>
      <c r="G386" s="77" t="s">
        <v>385</v>
      </c>
      <c r="H386" s="31">
        <v>30000</v>
      </c>
      <c r="I386" s="31">
        <v>30000</v>
      </c>
      <c r="J386" s="150">
        <v>30000</v>
      </c>
      <c r="K386" s="336">
        <f t="shared" si="25"/>
        <v>100</v>
      </c>
    </row>
    <row r="387" spans="1:11" ht="15">
      <c r="A387" s="36"/>
      <c r="B387" s="91"/>
      <c r="C387" s="91"/>
      <c r="D387" s="34"/>
      <c r="E387" s="34"/>
      <c r="F387" s="26">
        <f t="shared" si="22"/>
        <v>372</v>
      </c>
      <c r="G387" s="77" t="s">
        <v>386</v>
      </c>
      <c r="H387" s="31">
        <v>0</v>
      </c>
      <c r="I387" s="31">
        <v>60000</v>
      </c>
      <c r="J387" s="150">
        <v>60000</v>
      </c>
      <c r="K387" s="336">
        <f t="shared" si="25"/>
        <v>100</v>
      </c>
    </row>
    <row r="388" spans="1:11" ht="15">
      <c r="A388" s="36"/>
      <c r="B388" s="91"/>
      <c r="C388" s="91"/>
      <c r="D388" s="34"/>
      <c r="E388" s="34"/>
      <c r="F388" s="26">
        <f t="shared" si="22"/>
        <v>373</v>
      </c>
      <c r="G388" s="128" t="s">
        <v>387</v>
      </c>
      <c r="H388" s="31">
        <v>350000</v>
      </c>
      <c r="I388" s="31">
        <f>350000+0+0+0-300000</f>
        <v>50000</v>
      </c>
      <c r="J388" s="150">
        <v>0</v>
      </c>
      <c r="K388" s="336">
        <f>J388/I388*100</f>
        <v>0</v>
      </c>
    </row>
    <row r="389" spans="1:11" ht="15">
      <c r="A389" s="36"/>
      <c r="B389" s="91"/>
      <c r="C389" s="91"/>
      <c r="D389" s="34"/>
      <c r="E389" s="34"/>
      <c r="F389" s="26">
        <f t="shared" si="22"/>
        <v>374</v>
      </c>
      <c r="G389" s="128" t="s">
        <v>388</v>
      </c>
      <c r="H389" s="31">
        <v>0</v>
      </c>
      <c r="I389" s="31">
        <f>0+0+84500</f>
        <v>84500</v>
      </c>
      <c r="J389" s="150">
        <v>84500</v>
      </c>
      <c r="K389" s="336">
        <f t="shared" si="25"/>
        <v>100</v>
      </c>
    </row>
    <row r="390" spans="1:11" ht="15">
      <c r="A390" s="36"/>
      <c r="B390" s="91"/>
      <c r="C390" s="91"/>
      <c r="D390" s="34"/>
      <c r="E390" s="34"/>
      <c r="F390" s="26">
        <f t="shared" si="22"/>
        <v>375</v>
      </c>
      <c r="G390" s="77"/>
      <c r="H390" s="78"/>
      <c r="I390" s="78"/>
      <c r="J390" s="79"/>
      <c r="K390" s="337"/>
    </row>
    <row r="391" spans="1:11" ht="15">
      <c r="A391" s="92" t="s">
        <v>389</v>
      </c>
      <c r="B391" s="87">
        <f>B392</f>
        <v>10000</v>
      </c>
      <c r="C391" s="87">
        <f>C392</f>
        <v>2100</v>
      </c>
      <c r="D391" s="93">
        <f>D392</f>
        <v>2010</v>
      </c>
      <c r="E391" s="93">
        <f>D391/C391*100</f>
        <v>95.71428571428572</v>
      </c>
      <c r="F391" s="26">
        <f t="shared" si="22"/>
        <v>376</v>
      </c>
      <c r="G391" s="191" t="s">
        <v>390</v>
      </c>
      <c r="H391" s="62">
        <f>SUM(H392:H393)</f>
        <v>20000</v>
      </c>
      <c r="I391" s="62">
        <f>SUM(I392:I393)</f>
        <v>20000</v>
      </c>
      <c r="J391" s="63">
        <f>SUM(J392:J393)</f>
        <v>6116.55</v>
      </c>
      <c r="K391" s="216">
        <f>J391/I391*100</f>
        <v>30.582750000000004</v>
      </c>
    </row>
    <row r="392" spans="1:11" ht="15">
      <c r="A392" s="94" t="s">
        <v>391</v>
      </c>
      <c r="B392" s="23">
        <v>10000</v>
      </c>
      <c r="C392" s="23">
        <f>10000-7900</f>
        <v>2100</v>
      </c>
      <c r="D392" s="25">
        <v>2010</v>
      </c>
      <c r="E392" s="25">
        <f>D392/C392*100</f>
        <v>95.71428571428572</v>
      </c>
      <c r="F392" s="26">
        <f t="shared" si="22"/>
        <v>377</v>
      </c>
      <c r="G392" s="77" t="s">
        <v>136</v>
      </c>
      <c r="H392" s="23">
        <v>10000</v>
      </c>
      <c r="I392" s="23">
        <v>10000</v>
      </c>
      <c r="J392" s="25">
        <v>0</v>
      </c>
      <c r="K392" s="342">
        <f>J392/I392*100</f>
        <v>0</v>
      </c>
    </row>
    <row r="393" spans="1:11" ht="15">
      <c r="A393" s="36"/>
      <c r="B393" s="91"/>
      <c r="C393" s="91"/>
      <c r="D393" s="34"/>
      <c r="E393" s="34"/>
      <c r="F393" s="26">
        <f t="shared" si="22"/>
        <v>378</v>
      </c>
      <c r="G393" s="77" t="s">
        <v>392</v>
      </c>
      <c r="H393" s="23">
        <v>10000</v>
      </c>
      <c r="I393" s="23">
        <v>10000</v>
      </c>
      <c r="J393" s="25">
        <v>6116.55</v>
      </c>
      <c r="K393" s="342">
        <f>J393/I393*100</f>
        <v>61.16550000000001</v>
      </c>
    </row>
    <row r="394" spans="1:11" ht="15">
      <c r="A394" s="36"/>
      <c r="B394" s="91"/>
      <c r="C394" s="91"/>
      <c r="D394" s="34"/>
      <c r="E394" s="34"/>
      <c r="F394" s="26">
        <f t="shared" si="22"/>
        <v>379</v>
      </c>
      <c r="G394" s="77"/>
      <c r="H394" s="78"/>
      <c r="I394" s="78"/>
      <c r="J394" s="79"/>
      <c r="K394" s="346"/>
    </row>
    <row r="395" spans="1:11" ht="15">
      <c r="A395" s="68" t="s">
        <v>393</v>
      </c>
      <c r="B395" s="62">
        <f>SUM(B396:B397)</f>
        <v>112000</v>
      </c>
      <c r="C395" s="62">
        <f>SUM(C396:C397)</f>
        <v>112000</v>
      </c>
      <c r="D395" s="63">
        <f>SUM(D396:D397)</f>
        <v>44400</v>
      </c>
      <c r="E395" s="63">
        <f>D395/C395*100</f>
        <v>39.64285714285714</v>
      </c>
      <c r="F395" s="26">
        <f t="shared" si="22"/>
        <v>380</v>
      </c>
      <c r="G395" s="68" t="s">
        <v>393</v>
      </c>
      <c r="H395" s="62">
        <f>SUM(H396:H397)</f>
        <v>212000</v>
      </c>
      <c r="I395" s="62">
        <f>SUM(I396:I397)</f>
        <v>302000</v>
      </c>
      <c r="J395" s="63">
        <f>SUM(J396:J397)</f>
        <v>271237.1</v>
      </c>
      <c r="K395" s="216">
        <f>J395/I395*100</f>
        <v>89.81360927152318</v>
      </c>
    </row>
    <row r="396" spans="1:11" ht="15">
      <c r="A396" s="128" t="s">
        <v>394</v>
      </c>
      <c r="B396" s="31">
        <v>112000</v>
      </c>
      <c r="C396" s="31">
        <v>112000</v>
      </c>
      <c r="D396" s="24">
        <v>44400</v>
      </c>
      <c r="E396" s="24">
        <f>D396/C396*100</f>
        <v>39.64285714285714</v>
      </c>
      <c r="F396" s="26">
        <f t="shared" si="22"/>
        <v>381</v>
      </c>
      <c r="G396" s="128" t="s">
        <v>395</v>
      </c>
      <c r="H396" s="31">
        <v>12000</v>
      </c>
      <c r="I396" s="31">
        <v>12000</v>
      </c>
      <c r="J396" s="24">
        <v>6000</v>
      </c>
      <c r="K396" s="336">
        <f>J396/I396*100</f>
        <v>50</v>
      </c>
    </row>
    <row r="397" spans="1:11" ht="15">
      <c r="A397" s="192"/>
      <c r="B397" s="193"/>
      <c r="C397" s="144"/>
      <c r="D397" s="144"/>
      <c r="E397" s="144"/>
      <c r="F397" s="26">
        <f t="shared" si="22"/>
        <v>382</v>
      </c>
      <c r="G397" s="77" t="s">
        <v>396</v>
      </c>
      <c r="H397" s="31">
        <v>200000</v>
      </c>
      <c r="I397" s="31">
        <f>200000+0+0+0+0+0+30000+0+60000</f>
        <v>290000</v>
      </c>
      <c r="J397" s="25">
        <v>265237.1</v>
      </c>
      <c r="K397" s="336">
        <f>J397/I397*100</f>
        <v>91.46106896551723</v>
      </c>
    </row>
    <row r="398" spans="1:11" ht="15">
      <c r="A398" s="36"/>
      <c r="B398" s="91"/>
      <c r="C398" s="91"/>
      <c r="D398" s="34"/>
      <c r="E398" s="34"/>
      <c r="F398" s="26">
        <f t="shared" si="22"/>
        <v>383</v>
      </c>
      <c r="G398" s="77"/>
      <c r="H398" s="194"/>
      <c r="I398" s="194"/>
      <c r="J398" s="195"/>
      <c r="K398" s="337"/>
    </row>
    <row r="399" spans="1:11" ht="15">
      <c r="A399" s="92" t="s">
        <v>397</v>
      </c>
      <c r="B399" s="87">
        <f>SUM(B400:B407)</f>
        <v>206000</v>
      </c>
      <c r="C399" s="87">
        <f>SUM(C400:C407)</f>
        <v>211000</v>
      </c>
      <c r="D399" s="93">
        <f>SUM(D400:D407)</f>
        <v>170092</v>
      </c>
      <c r="E399" s="93">
        <f aca="true" t="shared" si="26" ref="E399:E406">D399/C399*100</f>
        <v>80.61232227488152</v>
      </c>
      <c r="F399" s="26">
        <f t="shared" si="22"/>
        <v>384</v>
      </c>
      <c r="G399" s="68" t="s">
        <v>398</v>
      </c>
      <c r="H399" s="62">
        <f>SUM(H400:H423)</f>
        <v>1162300</v>
      </c>
      <c r="I399" s="62">
        <f>SUM(I400:I423)</f>
        <v>3722300</v>
      </c>
      <c r="J399" s="63">
        <f>SUM(J400:J423)</f>
        <v>3570950.85</v>
      </c>
      <c r="K399" s="216">
        <f aca="true" t="shared" si="27" ref="K399:K405">J399/I399*100</f>
        <v>95.93398839427236</v>
      </c>
    </row>
    <row r="400" spans="1:11" ht="15">
      <c r="A400" s="94" t="s">
        <v>399</v>
      </c>
      <c r="B400" s="23">
        <v>105000</v>
      </c>
      <c r="C400" s="23">
        <v>109200</v>
      </c>
      <c r="D400" s="25">
        <v>109150</v>
      </c>
      <c r="E400" s="25">
        <f t="shared" si="26"/>
        <v>99.95421245421245</v>
      </c>
      <c r="F400" s="26">
        <f t="shared" si="22"/>
        <v>385</v>
      </c>
      <c r="G400" s="77" t="s">
        <v>400</v>
      </c>
      <c r="H400" s="31">
        <v>405000</v>
      </c>
      <c r="I400" s="31">
        <v>405000</v>
      </c>
      <c r="J400" s="150">
        <v>404536</v>
      </c>
      <c r="K400" s="336">
        <f t="shared" si="27"/>
        <v>99.88543209876543</v>
      </c>
    </row>
    <row r="401" spans="1:11" ht="15">
      <c r="A401" s="94" t="s">
        <v>401</v>
      </c>
      <c r="B401" s="23">
        <v>65000</v>
      </c>
      <c r="C401" s="23">
        <v>60800</v>
      </c>
      <c r="D401" s="25">
        <v>46095</v>
      </c>
      <c r="E401" s="25">
        <f t="shared" si="26"/>
        <v>75.81414473684211</v>
      </c>
      <c r="F401" s="26">
        <f t="shared" si="22"/>
        <v>386</v>
      </c>
      <c r="G401" s="77" t="s">
        <v>402</v>
      </c>
      <c r="H401" s="31">
        <v>10000</v>
      </c>
      <c r="I401" s="31">
        <v>10000</v>
      </c>
      <c r="J401" s="150">
        <v>9300</v>
      </c>
      <c r="K401" s="336">
        <f t="shared" si="27"/>
        <v>93</v>
      </c>
    </row>
    <row r="402" spans="1:11" ht="15">
      <c r="A402" s="94" t="s">
        <v>403</v>
      </c>
      <c r="B402" s="23">
        <v>5000</v>
      </c>
      <c r="C402" s="23">
        <v>5000</v>
      </c>
      <c r="D402" s="25">
        <v>3812</v>
      </c>
      <c r="E402" s="25">
        <f t="shared" si="26"/>
        <v>76.24</v>
      </c>
      <c r="F402" s="26">
        <f t="shared" si="22"/>
        <v>387</v>
      </c>
      <c r="G402" s="77" t="s">
        <v>404</v>
      </c>
      <c r="H402" s="31">
        <v>101300</v>
      </c>
      <c r="I402" s="31">
        <v>103400</v>
      </c>
      <c r="J402" s="150">
        <v>103381</v>
      </c>
      <c r="K402" s="336">
        <f t="shared" si="27"/>
        <v>99.9816247582205</v>
      </c>
    </row>
    <row r="403" spans="1:11" ht="15">
      <c r="A403" s="94" t="s">
        <v>405</v>
      </c>
      <c r="B403" s="23">
        <v>30000</v>
      </c>
      <c r="C403" s="23">
        <f>30000-10000</f>
        <v>20000</v>
      </c>
      <c r="D403" s="25">
        <v>0</v>
      </c>
      <c r="E403" s="25">
        <f t="shared" si="26"/>
        <v>0</v>
      </c>
      <c r="F403" s="26">
        <f t="shared" si="22"/>
        <v>388</v>
      </c>
      <c r="G403" s="148" t="s">
        <v>406</v>
      </c>
      <c r="H403" s="31">
        <v>36500</v>
      </c>
      <c r="I403" s="31">
        <v>37300</v>
      </c>
      <c r="J403" s="150">
        <v>37250</v>
      </c>
      <c r="K403" s="336">
        <f t="shared" si="27"/>
        <v>99.86595174262735</v>
      </c>
    </row>
    <row r="404" spans="1:11" ht="15">
      <c r="A404" s="94" t="s">
        <v>407</v>
      </c>
      <c r="B404" s="23">
        <v>0</v>
      </c>
      <c r="C404" s="23">
        <f>0+10000</f>
        <v>10000</v>
      </c>
      <c r="D404" s="25">
        <v>10000</v>
      </c>
      <c r="E404" s="25">
        <f t="shared" si="26"/>
        <v>100</v>
      </c>
      <c r="F404" s="26">
        <f aca="true" t="shared" si="28" ref="F404:F467">F403+1</f>
        <v>389</v>
      </c>
      <c r="G404" s="77" t="s">
        <v>408</v>
      </c>
      <c r="H404" s="96">
        <v>160000</v>
      </c>
      <c r="I404" s="96">
        <v>203000</v>
      </c>
      <c r="J404" s="76">
        <v>202945.4</v>
      </c>
      <c r="K404" s="347">
        <f t="shared" si="27"/>
        <v>99.97310344827585</v>
      </c>
    </row>
    <row r="405" spans="1:11" ht="15">
      <c r="A405" s="75" t="s">
        <v>409</v>
      </c>
      <c r="B405" s="23">
        <v>0</v>
      </c>
      <c r="C405" s="23">
        <f>0+0+5000</f>
        <v>5000</v>
      </c>
      <c r="D405" s="25">
        <v>1035</v>
      </c>
      <c r="E405" s="25">
        <f t="shared" si="26"/>
        <v>20.7</v>
      </c>
      <c r="F405" s="26">
        <f t="shared" si="28"/>
        <v>390</v>
      </c>
      <c r="G405" s="77" t="s">
        <v>410</v>
      </c>
      <c r="H405" s="96">
        <v>0</v>
      </c>
      <c r="I405" s="96">
        <f>0+62000</f>
        <v>62000</v>
      </c>
      <c r="J405" s="76">
        <v>62000</v>
      </c>
      <c r="K405" s="347">
        <f t="shared" si="27"/>
        <v>100</v>
      </c>
    </row>
    <row r="406" spans="1:11" ht="15">
      <c r="A406" s="94" t="s">
        <v>411</v>
      </c>
      <c r="B406" s="23">
        <v>1000</v>
      </c>
      <c r="C406" s="23">
        <v>1000</v>
      </c>
      <c r="D406" s="25">
        <v>0</v>
      </c>
      <c r="E406" s="25">
        <f t="shared" si="26"/>
        <v>0</v>
      </c>
      <c r="F406" s="26">
        <f t="shared" si="28"/>
        <v>391</v>
      </c>
      <c r="G406" s="148" t="s">
        <v>412</v>
      </c>
      <c r="H406" s="31">
        <v>1000</v>
      </c>
      <c r="I406" s="31">
        <v>1000</v>
      </c>
      <c r="J406" s="150">
        <v>720</v>
      </c>
      <c r="K406" s="336">
        <f>J406/I406*100</f>
        <v>72</v>
      </c>
    </row>
    <row r="407" spans="1:11" ht="15">
      <c r="A407" s="97"/>
      <c r="B407" s="138"/>
      <c r="C407" s="138"/>
      <c r="D407" s="130"/>
      <c r="E407" s="130"/>
      <c r="F407" s="26">
        <f t="shared" si="28"/>
        <v>392</v>
      </c>
      <c r="G407" s="94" t="s">
        <v>413</v>
      </c>
      <c r="H407" s="31">
        <v>1000</v>
      </c>
      <c r="I407" s="31">
        <v>7000</v>
      </c>
      <c r="J407" s="150">
        <v>6932</v>
      </c>
      <c r="K407" s="336">
        <f>J407/I407*100</f>
        <v>99.02857142857144</v>
      </c>
    </row>
    <row r="408" spans="1:11" ht="15">
      <c r="A408" s="36"/>
      <c r="B408" s="91"/>
      <c r="C408" s="91"/>
      <c r="D408" s="34"/>
      <c r="E408" s="34"/>
      <c r="F408" s="26">
        <f t="shared" si="28"/>
        <v>393</v>
      </c>
      <c r="G408" s="77" t="s">
        <v>414</v>
      </c>
      <c r="H408" s="31">
        <v>20000</v>
      </c>
      <c r="I408" s="31">
        <v>20000</v>
      </c>
      <c r="J408" s="150">
        <v>0</v>
      </c>
      <c r="K408" s="336">
        <f aca="true" t="shared" si="29" ref="K408:K422">J408/I408*100</f>
        <v>0</v>
      </c>
    </row>
    <row r="409" spans="1:11" ht="15">
      <c r="A409" s="36"/>
      <c r="B409" s="91"/>
      <c r="C409" s="91"/>
      <c r="D409" s="34"/>
      <c r="E409" s="34"/>
      <c r="F409" s="26">
        <f t="shared" si="28"/>
        <v>394</v>
      </c>
      <c r="G409" s="77" t="s">
        <v>415</v>
      </c>
      <c r="H409" s="31">
        <v>30000</v>
      </c>
      <c r="I409" s="31">
        <v>33300</v>
      </c>
      <c r="J409" s="150">
        <v>33230</v>
      </c>
      <c r="K409" s="336">
        <f t="shared" si="29"/>
        <v>99.78978978978978</v>
      </c>
    </row>
    <row r="410" spans="1:11" ht="15">
      <c r="A410" s="36"/>
      <c r="B410" s="91"/>
      <c r="C410" s="91"/>
      <c r="D410" s="34"/>
      <c r="E410" s="34"/>
      <c r="F410" s="26">
        <f t="shared" si="28"/>
        <v>395</v>
      </c>
      <c r="G410" s="77" t="s">
        <v>416</v>
      </c>
      <c r="H410" s="31">
        <v>20000</v>
      </c>
      <c r="I410" s="31">
        <v>23300</v>
      </c>
      <c r="J410" s="150">
        <v>23202</v>
      </c>
      <c r="K410" s="336">
        <f t="shared" si="29"/>
        <v>99.5793991416309</v>
      </c>
    </row>
    <row r="411" spans="1:11" ht="15">
      <c r="A411" s="36"/>
      <c r="B411" s="91"/>
      <c r="C411" s="91"/>
      <c r="D411" s="34"/>
      <c r="E411" s="34"/>
      <c r="F411" s="26">
        <f t="shared" si="28"/>
        <v>396</v>
      </c>
      <c r="G411" s="77" t="s">
        <v>417</v>
      </c>
      <c r="H411" s="31">
        <v>1000</v>
      </c>
      <c r="I411" s="31">
        <v>1000</v>
      </c>
      <c r="J411" s="150">
        <v>227</v>
      </c>
      <c r="K411" s="336">
        <f t="shared" si="29"/>
        <v>22.7</v>
      </c>
    </row>
    <row r="412" spans="1:11" ht="15">
      <c r="A412" s="36"/>
      <c r="B412" s="91"/>
      <c r="C412" s="91"/>
      <c r="D412" s="34"/>
      <c r="E412" s="91"/>
      <c r="F412" s="26">
        <f t="shared" si="28"/>
        <v>397</v>
      </c>
      <c r="G412" s="77" t="s">
        <v>418</v>
      </c>
      <c r="H412" s="31">
        <v>10000</v>
      </c>
      <c r="I412" s="31">
        <v>10000</v>
      </c>
      <c r="J412" s="150">
        <v>3895.11</v>
      </c>
      <c r="K412" s="336">
        <f t="shared" si="29"/>
        <v>38.9511</v>
      </c>
    </row>
    <row r="413" spans="1:11" ht="15">
      <c r="A413" s="36"/>
      <c r="B413" s="91"/>
      <c r="C413" s="91"/>
      <c r="D413" s="34"/>
      <c r="E413" s="34"/>
      <c r="F413" s="26">
        <f t="shared" si="28"/>
        <v>398</v>
      </c>
      <c r="G413" s="77" t="s">
        <v>419</v>
      </c>
      <c r="H413" s="31">
        <v>30000</v>
      </c>
      <c r="I413" s="31">
        <f>30000+0-30000+0+0+0+0+0+0+0+8000+11600</f>
        <v>19600</v>
      </c>
      <c r="J413" s="150">
        <v>19580</v>
      </c>
      <c r="K413" s="336">
        <f t="shared" si="29"/>
        <v>99.89795918367346</v>
      </c>
    </row>
    <row r="414" spans="1:11" ht="15">
      <c r="A414" s="36"/>
      <c r="B414" s="91"/>
      <c r="C414" s="91"/>
      <c r="D414" s="34"/>
      <c r="E414" s="34"/>
      <c r="F414" s="26">
        <f t="shared" si="28"/>
        <v>399</v>
      </c>
      <c r="G414" s="77" t="s">
        <v>420</v>
      </c>
      <c r="H414" s="31">
        <v>200000</v>
      </c>
      <c r="I414" s="31">
        <v>113500</v>
      </c>
      <c r="J414" s="150">
        <v>97008</v>
      </c>
      <c r="K414" s="336">
        <f t="shared" si="29"/>
        <v>85.46960352422907</v>
      </c>
    </row>
    <row r="415" spans="1:11" ht="15">
      <c r="A415" s="36"/>
      <c r="B415" s="91"/>
      <c r="C415" s="91"/>
      <c r="D415" s="34"/>
      <c r="E415" s="91"/>
      <c r="F415" s="26">
        <f t="shared" si="28"/>
        <v>400</v>
      </c>
      <c r="G415" s="77" t="s">
        <v>421</v>
      </c>
      <c r="H415" s="31">
        <v>50000</v>
      </c>
      <c r="I415" s="31">
        <v>50000</v>
      </c>
      <c r="J415" s="150">
        <v>37352.7</v>
      </c>
      <c r="K415" s="336">
        <f t="shared" si="29"/>
        <v>74.7054</v>
      </c>
    </row>
    <row r="416" spans="1:11" ht="15">
      <c r="A416" s="36"/>
      <c r="B416" s="91"/>
      <c r="C416" s="91"/>
      <c r="D416" s="34"/>
      <c r="E416" s="91"/>
      <c r="F416" s="26">
        <f t="shared" si="28"/>
        <v>401</v>
      </c>
      <c r="G416" s="77" t="s">
        <v>422</v>
      </c>
      <c r="H416" s="31">
        <v>500</v>
      </c>
      <c r="I416" s="31">
        <v>500</v>
      </c>
      <c r="J416" s="150">
        <v>0</v>
      </c>
      <c r="K416" s="336">
        <f t="shared" si="29"/>
        <v>0</v>
      </c>
    </row>
    <row r="417" spans="1:11" ht="15">
      <c r="A417" s="36"/>
      <c r="B417" s="91"/>
      <c r="C417" s="91"/>
      <c r="D417" s="34"/>
      <c r="E417" s="91"/>
      <c r="F417" s="26">
        <f t="shared" si="28"/>
        <v>402</v>
      </c>
      <c r="G417" s="77" t="s">
        <v>423</v>
      </c>
      <c r="H417" s="31">
        <v>10000</v>
      </c>
      <c r="I417" s="31">
        <f>10000+10000</f>
        <v>20000</v>
      </c>
      <c r="J417" s="150">
        <v>19002</v>
      </c>
      <c r="K417" s="336">
        <f t="shared" si="29"/>
        <v>95.00999999999999</v>
      </c>
    </row>
    <row r="418" spans="1:11" ht="15">
      <c r="A418" s="36"/>
      <c r="B418" s="91"/>
      <c r="C418" s="91"/>
      <c r="D418" s="34"/>
      <c r="E418" s="91"/>
      <c r="F418" s="26">
        <f t="shared" si="28"/>
        <v>403</v>
      </c>
      <c r="G418" s="77" t="s">
        <v>424</v>
      </c>
      <c r="H418" s="31">
        <v>1000</v>
      </c>
      <c r="I418" s="31">
        <f>3000+2000+2400</f>
        <v>7400</v>
      </c>
      <c r="J418" s="150">
        <v>7343</v>
      </c>
      <c r="K418" s="336">
        <f t="shared" si="29"/>
        <v>99.22972972972973</v>
      </c>
    </row>
    <row r="419" spans="1:11" ht="15">
      <c r="A419" s="36"/>
      <c r="B419" s="91"/>
      <c r="C419" s="91"/>
      <c r="D419" s="34"/>
      <c r="E419" s="34"/>
      <c r="F419" s="26">
        <f t="shared" si="28"/>
        <v>404</v>
      </c>
      <c r="G419" s="77" t="s">
        <v>425</v>
      </c>
      <c r="H419" s="31">
        <v>5000</v>
      </c>
      <c r="I419" s="31">
        <v>5000</v>
      </c>
      <c r="J419" s="150">
        <v>0</v>
      </c>
      <c r="K419" s="336">
        <f t="shared" si="29"/>
        <v>0</v>
      </c>
    </row>
    <row r="420" spans="1:11" ht="15">
      <c r="A420" s="36"/>
      <c r="B420" s="91"/>
      <c r="C420" s="91"/>
      <c r="D420" s="34"/>
      <c r="E420" s="34"/>
      <c r="F420" s="26">
        <f t="shared" si="28"/>
        <v>405</v>
      </c>
      <c r="G420" s="191" t="s">
        <v>426</v>
      </c>
      <c r="H420" s="31">
        <v>70000</v>
      </c>
      <c r="I420" s="31">
        <f>70000+0+0+0+0+0+0+0+0+0-8000-62000</f>
        <v>0</v>
      </c>
      <c r="J420" s="73">
        <v>0</v>
      </c>
      <c r="K420" s="336" t="e">
        <f t="shared" si="29"/>
        <v>#DIV/0!</v>
      </c>
    </row>
    <row r="421" spans="1:11" ht="15">
      <c r="A421" s="36"/>
      <c r="B421" s="91"/>
      <c r="C421" s="91"/>
      <c r="D421" s="34"/>
      <c r="E421" s="34"/>
      <c r="F421" s="26">
        <f t="shared" si="28"/>
        <v>406</v>
      </c>
      <c r="G421" s="196" t="s">
        <v>427</v>
      </c>
      <c r="H421" s="31">
        <v>0</v>
      </c>
      <c r="I421" s="31"/>
      <c r="J421" s="73">
        <v>74054.42</v>
      </c>
      <c r="K421" s="336" t="e">
        <f t="shared" si="29"/>
        <v>#DIV/0!</v>
      </c>
    </row>
    <row r="422" spans="1:11" ht="15">
      <c r="A422" s="36"/>
      <c r="B422" s="91"/>
      <c r="C422" s="91"/>
      <c r="D422" s="34"/>
      <c r="E422" s="34"/>
      <c r="F422" s="26">
        <f t="shared" si="28"/>
        <v>407</v>
      </c>
      <c r="G422" s="197" t="s">
        <v>428</v>
      </c>
      <c r="H422" s="137">
        <v>0</v>
      </c>
      <c r="I422" s="137">
        <v>2590000</v>
      </c>
      <c r="J422" s="198">
        <v>2428992.22</v>
      </c>
      <c r="K422" s="343">
        <f t="shared" si="29"/>
        <v>93.78348339768341</v>
      </c>
    </row>
    <row r="423" spans="1:11" ht="15">
      <c r="A423" s="36"/>
      <c r="B423" s="91"/>
      <c r="C423" s="91"/>
      <c r="D423" s="34"/>
      <c r="E423" s="34"/>
      <c r="F423" s="26">
        <f t="shared" si="28"/>
        <v>408</v>
      </c>
      <c r="G423" s="199"/>
      <c r="H423" s="183"/>
      <c r="I423" s="183"/>
      <c r="J423" s="106"/>
      <c r="K423" s="344"/>
    </row>
    <row r="424" spans="1:11" ht="15">
      <c r="A424" s="36"/>
      <c r="B424" s="91"/>
      <c r="C424" s="91"/>
      <c r="D424" s="34"/>
      <c r="E424" s="34"/>
      <c r="F424" s="26">
        <f t="shared" si="28"/>
        <v>409</v>
      </c>
      <c r="G424" s="200"/>
      <c r="H424" s="201"/>
      <c r="I424" s="201"/>
      <c r="J424" s="202"/>
      <c r="K424" s="348"/>
    </row>
    <row r="425" spans="1:11" ht="15">
      <c r="A425" s="191" t="s">
        <v>429</v>
      </c>
      <c r="B425" s="62">
        <f>SUM(B426:B428)</f>
        <v>470000</v>
      </c>
      <c r="C425" s="62">
        <f>SUM(C426:C428)</f>
        <v>529600</v>
      </c>
      <c r="D425" s="63">
        <f>SUM(D426:D428)</f>
        <v>529593</v>
      </c>
      <c r="E425" s="63">
        <f>D425/C425*100</f>
        <v>99.99867824773415</v>
      </c>
      <c r="F425" s="26">
        <f t="shared" si="28"/>
        <v>410</v>
      </c>
      <c r="G425" s="191" t="s">
        <v>430</v>
      </c>
      <c r="H425" s="69">
        <f>SUM(H426:H432)</f>
        <v>751000</v>
      </c>
      <c r="I425" s="69">
        <f>SUM(I426:I432)</f>
        <v>750000</v>
      </c>
      <c r="J425" s="70">
        <f>SUM(J426:J432)</f>
        <v>749712</v>
      </c>
      <c r="K425" s="216">
        <f>J425/I425*100</f>
        <v>99.96159999999999</v>
      </c>
    </row>
    <row r="426" spans="1:11" ht="15">
      <c r="A426" s="94" t="s">
        <v>431</v>
      </c>
      <c r="B426" s="23">
        <v>320000</v>
      </c>
      <c r="C426" s="23">
        <f>320000-1000</f>
        <v>319000</v>
      </c>
      <c r="D426" s="25">
        <v>319000</v>
      </c>
      <c r="E426" s="25">
        <f>D426/C426*100</f>
        <v>100</v>
      </c>
      <c r="F426" s="26">
        <f t="shared" si="28"/>
        <v>411</v>
      </c>
      <c r="G426" s="77" t="s">
        <v>432</v>
      </c>
      <c r="H426" s="31">
        <v>60000</v>
      </c>
      <c r="I426" s="31">
        <f>60000+0+0+0+0+0+0+1000</f>
        <v>61000</v>
      </c>
      <c r="J426" s="150">
        <v>61000</v>
      </c>
      <c r="K426" s="336">
        <f>J426/I426*100</f>
        <v>100</v>
      </c>
    </row>
    <row r="427" spans="1:11" ht="15">
      <c r="A427" s="94" t="s">
        <v>433</v>
      </c>
      <c r="B427" s="23">
        <v>140000</v>
      </c>
      <c r="C427" s="23">
        <f>140000+62500</f>
        <v>202500</v>
      </c>
      <c r="D427" s="25">
        <v>202500</v>
      </c>
      <c r="E427" s="25">
        <f>D427/C427*100</f>
        <v>100</v>
      </c>
      <c r="F427" s="26">
        <f t="shared" si="28"/>
        <v>412</v>
      </c>
      <c r="G427" s="77" t="s">
        <v>434</v>
      </c>
      <c r="H427" s="31">
        <v>390000</v>
      </c>
      <c r="I427" s="31">
        <f>390000+0+0+0+0+0+0+0+0+0+10000+21700</f>
        <v>421700</v>
      </c>
      <c r="J427" s="150">
        <v>421638</v>
      </c>
      <c r="K427" s="336">
        <f aca="true" t="shared" si="30" ref="K427:K432">J427/I427*100</f>
        <v>99.98529760493243</v>
      </c>
    </row>
    <row r="428" spans="1:11" ht="15">
      <c r="A428" s="94" t="s">
        <v>435</v>
      </c>
      <c r="B428" s="23">
        <v>10000</v>
      </c>
      <c r="C428" s="23">
        <f>10000-1900</f>
        <v>8100</v>
      </c>
      <c r="D428" s="25">
        <v>8093</v>
      </c>
      <c r="E428" s="25">
        <f>D428/C428*100</f>
        <v>99.91358024691358</v>
      </c>
      <c r="F428" s="26">
        <f t="shared" si="28"/>
        <v>413</v>
      </c>
      <c r="G428" s="77" t="s">
        <v>136</v>
      </c>
      <c r="H428" s="31">
        <v>15000</v>
      </c>
      <c r="I428" s="31">
        <f>15000+0+0+0+0-5500-5400-900</f>
        <v>3200</v>
      </c>
      <c r="J428" s="150">
        <v>3111</v>
      </c>
      <c r="K428" s="336">
        <f t="shared" si="30"/>
        <v>97.21875</v>
      </c>
    </row>
    <row r="429" spans="1:11" ht="15">
      <c r="A429" s="58"/>
      <c r="B429" s="59"/>
      <c r="C429" s="59"/>
      <c r="D429" s="57"/>
      <c r="E429" s="60"/>
      <c r="F429" s="26">
        <f t="shared" si="28"/>
        <v>414</v>
      </c>
      <c r="G429" s="77" t="s">
        <v>436</v>
      </c>
      <c r="H429" s="31">
        <v>6000</v>
      </c>
      <c r="I429" s="31">
        <f>6000-2900</f>
        <v>3100</v>
      </c>
      <c r="J429" s="150">
        <v>3098</v>
      </c>
      <c r="K429" s="336">
        <f t="shared" si="30"/>
        <v>99.93548387096774</v>
      </c>
    </row>
    <row r="430" spans="1:11" ht="15">
      <c r="A430" s="58"/>
      <c r="B430" s="59"/>
      <c r="C430" s="59"/>
      <c r="D430" s="57"/>
      <c r="E430" s="60"/>
      <c r="F430" s="26">
        <f t="shared" si="28"/>
        <v>415</v>
      </c>
      <c r="G430" s="77" t="s">
        <v>437</v>
      </c>
      <c r="H430" s="31">
        <v>145000</v>
      </c>
      <c r="I430" s="31">
        <f>145000+0+0+0+0+0+0-1000+0+0-10000-13400</f>
        <v>120600</v>
      </c>
      <c r="J430" s="150">
        <v>120577</v>
      </c>
      <c r="K430" s="336">
        <f t="shared" si="30"/>
        <v>99.98092868988392</v>
      </c>
    </row>
    <row r="431" spans="1:11" ht="15">
      <c r="A431" s="36"/>
      <c r="B431" s="91"/>
      <c r="C431" s="91"/>
      <c r="D431" s="34"/>
      <c r="E431" s="34"/>
      <c r="F431" s="26">
        <f t="shared" si="28"/>
        <v>416</v>
      </c>
      <c r="G431" s="77" t="s">
        <v>116</v>
      </c>
      <c r="H431" s="31">
        <v>85000</v>
      </c>
      <c r="I431" s="31">
        <f>85000-100</f>
        <v>84900</v>
      </c>
      <c r="J431" s="150">
        <v>84860</v>
      </c>
      <c r="K431" s="336">
        <f t="shared" si="30"/>
        <v>99.95288574793875</v>
      </c>
    </row>
    <row r="432" spans="1:11" ht="15">
      <c r="A432" s="36"/>
      <c r="B432" s="91"/>
      <c r="C432" s="91"/>
      <c r="D432" s="34"/>
      <c r="E432" s="34"/>
      <c r="F432" s="26">
        <f t="shared" si="28"/>
        <v>417</v>
      </c>
      <c r="G432" s="77" t="s">
        <v>438</v>
      </c>
      <c r="H432" s="31">
        <v>50000</v>
      </c>
      <c r="I432" s="31">
        <f>50000+0+0+0+0+5500</f>
        <v>55500</v>
      </c>
      <c r="J432" s="150">
        <v>55428</v>
      </c>
      <c r="K432" s="336">
        <f t="shared" si="30"/>
        <v>99.87027027027027</v>
      </c>
    </row>
    <row r="433" spans="1:11" ht="15">
      <c r="A433" s="36"/>
      <c r="B433" s="91"/>
      <c r="C433" s="91"/>
      <c r="D433" s="34"/>
      <c r="E433" s="34"/>
      <c r="F433" s="26">
        <f t="shared" si="28"/>
        <v>418</v>
      </c>
      <c r="G433" s="77"/>
      <c r="H433" s="89"/>
      <c r="I433" s="89"/>
      <c r="J433" s="158"/>
      <c r="K433" s="337"/>
    </row>
    <row r="434" spans="1:11" ht="15">
      <c r="A434" s="68" t="s">
        <v>439</v>
      </c>
      <c r="B434" s="62">
        <f>SUM(B435:B436)</f>
        <v>190000</v>
      </c>
      <c r="C434" s="62">
        <f>SUM(C435:C436)</f>
        <v>190000</v>
      </c>
      <c r="D434" s="63">
        <f>SUM(D435:D436)</f>
        <v>170704</v>
      </c>
      <c r="E434" s="63">
        <f>D434/C434*100</f>
        <v>89.84421052631579</v>
      </c>
      <c r="F434" s="26">
        <f t="shared" si="28"/>
        <v>419</v>
      </c>
      <c r="G434" s="68" t="s">
        <v>439</v>
      </c>
      <c r="H434" s="69">
        <f>SUM(H435:H469)</f>
        <v>2145000</v>
      </c>
      <c r="I434" s="69">
        <f>SUM(I435:I469)</f>
        <v>2973700</v>
      </c>
      <c r="J434" s="70">
        <f>SUM(J435:J469)</f>
        <v>2679744.2199999997</v>
      </c>
      <c r="K434" s="216">
        <f>J434/I434*100</f>
        <v>90.11481386824494</v>
      </c>
    </row>
    <row r="435" spans="1:11" ht="15">
      <c r="A435" s="94" t="s">
        <v>440</v>
      </c>
      <c r="B435" s="31">
        <v>190000</v>
      </c>
      <c r="C435" s="31">
        <v>190000</v>
      </c>
      <c r="D435" s="24">
        <v>170704</v>
      </c>
      <c r="E435" s="24">
        <f>D435/C435*100</f>
        <v>89.84421052631579</v>
      </c>
      <c r="F435" s="26">
        <f t="shared" si="28"/>
        <v>420</v>
      </c>
      <c r="G435" s="191" t="s">
        <v>441</v>
      </c>
      <c r="H435" s="31"/>
      <c r="I435" s="31"/>
      <c r="J435" s="150"/>
      <c r="K435" s="336"/>
    </row>
    <row r="436" spans="1:11" ht="15">
      <c r="A436" s="97"/>
      <c r="B436" s="183"/>
      <c r="C436" s="183"/>
      <c r="D436" s="139"/>
      <c r="E436" s="139"/>
      <c r="F436" s="26">
        <f t="shared" si="28"/>
        <v>421</v>
      </c>
      <c r="G436" s="77" t="s">
        <v>442</v>
      </c>
      <c r="H436" s="31">
        <v>0</v>
      </c>
      <c r="I436" s="31">
        <f>0+0+0+0+0+3400</f>
        <v>3400</v>
      </c>
      <c r="J436" s="150">
        <v>3388</v>
      </c>
      <c r="K436" s="336">
        <f aca="true" t="shared" si="31" ref="K436:K465">J436/I436*100</f>
        <v>99.6470588235294</v>
      </c>
    </row>
    <row r="437" spans="1:11" ht="15">
      <c r="A437" s="36"/>
      <c r="B437" s="177"/>
      <c r="C437" s="177"/>
      <c r="D437" s="323"/>
      <c r="E437" s="323"/>
      <c r="F437" s="26">
        <f t="shared" si="28"/>
        <v>422</v>
      </c>
      <c r="G437" s="128" t="s">
        <v>443</v>
      </c>
      <c r="H437" s="31">
        <v>30000</v>
      </c>
      <c r="I437" s="31">
        <v>30000</v>
      </c>
      <c r="J437" s="166">
        <v>2324</v>
      </c>
      <c r="K437" s="336">
        <f t="shared" si="31"/>
        <v>7.746666666666667</v>
      </c>
    </row>
    <row r="438" spans="1:11" ht="15">
      <c r="A438" s="36"/>
      <c r="B438" s="177"/>
      <c r="C438" s="177"/>
      <c r="D438" s="323"/>
      <c r="E438" s="203"/>
      <c r="F438" s="26">
        <f t="shared" si="28"/>
        <v>423</v>
      </c>
      <c r="G438" s="128" t="s">
        <v>444</v>
      </c>
      <c r="H438" s="31">
        <v>10000</v>
      </c>
      <c r="I438" s="31">
        <v>10000</v>
      </c>
      <c r="J438" s="166">
        <v>2871.34</v>
      </c>
      <c r="K438" s="336">
        <f>J438/I438*100</f>
        <v>28.7134</v>
      </c>
    </row>
    <row r="439" spans="1:11" ht="15">
      <c r="A439" s="36"/>
      <c r="B439" s="177"/>
      <c r="C439" s="177"/>
      <c r="D439" s="323"/>
      <c r="E439" s="203"/>
      <c r="F439" s="26">
        <f t="shared" si="28"/>
        <v>424</v>
      </c>
      <c r="G439" s="128" t="s">
        <v>445</v>
      </c>
      <c r="H439" s="31">
        <v>100000</v>
      </c>
      <c r="I439" s="31">
        <v>100000</v>
      </c>
      <c r="J439" s="166">
        <v>49643</v>
      </c>
      <c r="K439" s="336">
        <f>J439/I439*100</f>
        <v>49.643</v>
      </c>
    </row>
    <row r="440" spans="1:11" ht="15">
      <c r="A440" s="36"/>
      <c r="B440" s="177"/>
      <c r="C440" s="177"/>
      <c r="D440" s="323"/>
      <c r="E440" s="203"/>
      <c r="F440" s="26">
        <f t="shared" si="28"/>
        <v>425</v>
      </c>
      <c r="G440" s="128" t="s">
        <v>446</v>
      </c>
      <c r="H440" s="31">
        <v>30000</v>
      </c>
      <c r="I440" s="31">
        <v>30000</v>
      </c>
      <c r="J440" s="166">
        <v>21549</v>
      </c>
      <c r="K440" s="336">
        <f>J440/I440*100</f>
        <v>71.83</v>
      </c>
    </row>
    <row r="441" spans="1:11" ht="15">
      <c r="A441" s="36"/>
      <c r="B441" s="177"/>
      <c r="C441" s="177"/>
      <c r="D441" s="323"/>
      <c r="E441" s="203"/>
      <c r="F441" s="26">
        <f t="shared" si="28"/>
        <v>426</v>
      </c>
      <c r="G441" s="128" t="s">
        <v>447</v>
      </c>
      <c r="H441" s="31">
        <v>30000</v>
      </c>
      <c r="I441" s="31">
        <v>30000</v>
      </c>
      <c r="J441" s="166">
        <v>0</v>
      </c>
      <c r="K441" s="336">
        <f>J441/I441*100</f>
        <v>0</v>
      </c>
    </row>
    <row r="442" spans="1:11" ht="15">
      <c r="A442" s="36"/>
      <c r="B442" s="177"/>
      <c r="C442" s="177"/>
      <c r="D442" s="323"/>
      <c r="E442" s="323"/>
      <c r="F442" s="26">
        <f t="shared" si="28"/>
        <v>427</v>
      </c>
      <c r="G442" s="128" t="s">
        <v>448</v>
      </c>
      <c r="H442" s="31">
        <v>50000</v>
      </c>
      <c r="I442" s="31">
        <v>50000</v>
      </c>
      <c r="J442" s="166">
        <v>3134.75</v>
      </c>
      <c r="K442" s="336">
        <f t="shared" si="31"/>
        <v>6.2695</v>
      </c>
    </row>
    <row r="443" spans="1:11" ht="15">
      <c r="A443" s="36"/>
      <c r="B443" s="177"/>
      <c r="C443" s="177"/>
      <c r="D443" s="323"/>
      <c r="E443" s="323"/>
      <c r="F443" s="26">
        <f t="shared" si="28"/>
        <v>428</v>
      </c>
      <c r="G443" s="128" t="s">
        <v>449</v>
      </c>
      <c r="H443" s="31">
        <v>200000</v>
      </c>
      <c r="I443" s="31">
        <f>200000+0+0+0+0+0+30000+200000+45000</f>
        <v>475000</v>
      </c>
      <c r="J443" s="166">
        <v>353785.35</v>
      </c>
      <c r="K443" s="336">
        <f t="shared" si="31"/>
        <v>74.48112631578947</v>
      </c>
    </row>
    <row r="444" spans="1:11" ht="15">
      <c r="A444" s="36"/>
      <c r="B444" s="177"/>
      <c r="C444" s="177"/>
      <c r="D444" s="323"/>
      <c r="E444" s="323"/>
      <c r="F444" s="26">
        <f t="shared" si="28"/>
        <v>429</v>
      </c>
      <c r="G444" s="128" t="s">
        <v>125</v>
      </c>
      <c r="H444" s="31">
        <v>1000</v>
      </c>
      <c r="I444" s="31">
        <v>1000</v>
      </c>
      <c r="J444" s="166">
        <v>0</v>
      </c>
      <c r="K444" s="336">
        <f t="shared" si="31"/>
        <v>0</v>
      </c>
    </row>
    <row r="445" spans="1:11" ht="15">
      <c r="A445" s="204"/>
      <c r="B445" s="177"/>
      <c r="C445" s="177"/>
      <c r="D445" s="323"/>
      <c r="E445" s="323"/>
      <c r="F445" s="26">
        <f t="shared" si="28"/>
        <v>430</v>
      </c>
      <c r="G445" s="77" t="s">
        <v>450</v>
      </c>
      <c r="H445" s="31"/>
      <c r="I445" s="31"/>
      <c r="J445" s="150"/>
      <c r="K445" s="336"/>
    </row>
    <row r="446" spans="1:11" ht="15">
      <c r="A446" s="204"/>
      <c r="B446" s="177"/>
      <c r="C446" s="177"/>
      <c r="D446" s="323"/>
      <c r="E446" s="323"/>
      <c r="F446" s="26">
        <f t="shared" si="28"/>
        <v>431</v>
      </c>
      <c r="G446" s="77" t="s">
        <v>451</v>
      </c>
      <c r="H446" s="31">
        <v>37000</v>
      </c>
      <c r="I446" s="31">
        <v>37000</v>
      </c>
      <c r="J446" s="150">
        <v>37000</v>
      </c>
      <c r="K446" s="336">
        <f t="shared" si="31"/>
        <v>100</v>
      </c>
    </row>
    <row r="447" spans="1:11" ht="15">
      <c r="A447" s="204"/>
      <c r="B447" s="177"/>
      <c r="C447" s="177"/>
      <c r="D447" s="323"/>
      <c r="E447" s="323"/>
      <c r="F447" s="26">
        <f t="shared" si="28"/>
        <v>432</v>
      </c>
      <c r="G447" s="77" t="s">
        <v>452</v>
      </c>
      <c r="H447" s="31">
        <v>39000</v>
      </c>
      <c r="I447" s="31">
        <v>39000</v>
      </c>
      <c r="J447" s="150">
        <v>39000</v>
      </c>
      <c r="K447" s="336">
        <f t="shared" si="31"/>
        <v>100</v>
      </c>
    </row>
    <row r="448" spans="1:11" ht="15">
      <c r="A448" s="36"/>
      <c r="B448" s="91"/>
      <c r="C448" s="91"/>
      <c r="D448" s="34"/>
      <c r="E448" s="34"/>
      <c r="F448" s="26">
        <f t="shared" si="28"/>
        <v>433</v>
      </c>
      <c r="G448" s="77" t="s">
        <v>453</v>
      </c>
      <c r="H448" s="31">
        <v>25000</v>
      </c>
      <c r="I448" s="31">
        <v>25000</v>
      </c>
      <c r="J448" s="150">
        <v>25000</v>
      </c>
      <c r="K448" s="336">
        <f t="shared" si="31"/>
        <v>100</v>
      </c>
    </row>
    <row r="449" spans="1:11" ht="15">
      <c r="A449" s="36"/>
      <c r="B449" s="91"/>
      <c r="C449" s="91"/>
      <c r="D449" s="34"/>
      <c r="E449" s="34"/>
      <c r="F449" s="26">
        <f t="shared" si="28"/>
        <v>434</v>
      </c>
      <c r="G449" s="77" t="s">
        <v>454</v>
      </c>
      <c r="H449" s="31">
        <v>375000</v>
      </c>
      <c r="I449" s="31">
        <v>375000</v>
      </c>
      <c r="J449" s="150">
        <v>375000</v>
      </c>
      <c r="K449" s="336">
        <f t="shared" si="31"/>
        <v>100</v>
      </c>
    </row>
    <row r="450" spans="1:11" ht="15">
      <c r="A450" s="36"/>
      <c r="B450" s="91"/>
      <c r="C450" s="91"/>
      <c r="D450" s="34"/>
      <c r="E450" s="34"/>
      <c r="F450" s="26">
        <f t="shared" si="28"/>
        <v>435</v>
      </c>
      <c r="G450" s="77" t="s">
        <v>455</v>
      </c>
      <c r="H450" s="31">
        <f>25000+30000</f>
        <v>55000</v>
      </c>
      <c r="I450" s="31">
        <f>25000+30000+32000</f>
        <v>87000</v>
      </c>
      <c r="J450" s="150">
        <v>87000</v>
      </c>
      <c r="K450" s="336">
        <f t="shared" si="31"/>
        <v>100</v>
      </c>
    </row>
    <row r="451" spans="1:11" ht="15">
      <c r="A451" s="36"/>
      <c r="B451" s="91"/>
      <c r="C451" s="91"/>
      <c r="D451" s="34"/>
      <c r="E451" s="34"/>
      <c r="F451" s="26">
        <f t="shared" si="28"/>
        <v>436</v>
      </c>
      <c r="G451" s="77" t="s">
        <v>456</v>
      </c>
      <c r="H451" s="31">
        <v>52000</v>
      </c>
      <c r="I451" s="31">
        <v>52000</v>
      </c>
      <c r="J451" s="150">
        <v>52000</v>
      </c>
      <c r="K451" s="336">
        <f t="shared" si="31"/>
        <v>100</v>
      </c>
    </row>
    <row r="452" spans="1:11" ht="15">
      <c r="A452" s="36"/>
      <c r="B452" s="91"/>
      <c r="C452" s="91"/>
      <c r="D452" s="34"/>
      <c r="E452" s="34"/>
      <c r="F452" s="26">
        <f t="shared" si="28"/>
        <v>437</v>
      </c>
      <c r="G452" s="77" t="s">
        <v>457</v>
      </c>
      <c r="H452" s="31">
        <v>100000</v>
      </c>
      <c r="I452" s="31">
        <v>100000</v>
      </c>
      <c r="J452" s="150">
        <v>100000</v>
      </c>
      <c r="K452" s="336">
        <f>J452/I452*100</f>
        <v>100</v>
      </c>
    </row>
    <row r="453" spans="1:11" ht="15">
      <c r="A453" s="36"/>
      <c r="B453" s="91"/>
      <c r="C453" s="91"/>
      <c r="D453" s="34"/>
      <c r="E453" s="34"/>
      <c r="F453" s="26">
        <f t="shared" si="28"/>
        <v>438</v>
      </c>
      <c r="G453" s="77" t="s">
        <v>458</v>
      </c>
      <c r="H453" s="31">
        <v>5000</v>
      </c>
      <c r="I453" s="31">
        <v>5000</v>
      </c>
      <c r="J453" s="73">
        <v>5000</v>
      </c>
      <c r="K453" s="336">
        <f t="shared" si="31"/>
        <v>100</v>
      </c>
    </row>
    <row r="454" spans="1:11" ht="15">
      <c r="A454" s="36"/>
      <c r="B454" s="91"/>
      <c r="C454" s="91"/>
      <c r="D454" s="34"/>
      <c r="E454" s="34"/>
      <c r="F454" s="26">
        <f t="shared" si="28"/>
        <v>439</v>
      </c>
      <c r="G454" s="77" t="s">
        <v>459</v>
      </c>
      <c r="H454" s="31">
        <v>7000</v>
      </c>
      <c r="I454" s="31">
        <v>7000</v>
      </c>
      <c r="J454" s="150">
        <v>7000</v>
      </c>
      <c r="K454" s="336">
        <f t="shared" si="31"/>
        <v>100</v>
      </c>
    </row>
    <row r="455" spans="1:11" ht="15">
      <c r="A455" s="36"/>
      <c r="B455" s="91"/>
      <c r="C455" s="91"/>
      <c r="D455" s="34"/>
      <c r="E455" s="34"/>
      <c r="F455" s="26">
        <f t="shared" si="28"/>
        <v>440</v>
      </c>
      <c r="G455" s="77" t="s">
        <v>460</v>
      </c>
      <c r="H455" s="31">
        <v>22000</v>
      </c>
      <c r="I455" s="31">
        <v>22000</v>
      </c>
      <c r="J455" s="150">
        <v>22000</v>
      </c>
      <c r="K455" s="336">
        <f t="shared" si="31"/>
        <v>100</v>
      </c>
    </row>
    <row r="456" spans="1:11" ht="15">
      <c r="A456" s="36"/>
      <c r="B456" s="91"/>
      <c r="C456" s="91"/>
      <c r="D456" s="34"/>
      <c r="E456" s="34"/>
      <c r="F456" s="26">
        <f t="shared" si="28"/>
        <v>441</v>
      </c>
      <c r="G456" s="77" t="s">
        <v>461</v>
      </c>
      <c r="H456" s="31">
        <v>10000</v>
      </c>
      <c r="I456" s="31">
        <v>10000</v>
      </c>
      <c r="J456" s="150">
        <v>10000</v>
      </c>
      <c r="K456" s="336">
        <f t="shared" si="31"/>
        <v>100</v>
      </c>
    </row>
    <row r="457" spans="1:11" ht="15">
      <c r="A457" s="36"/>
      <c r="B457" s="91"/>
      <c r="C457" s="91"/>
      <c r="D457" s="34"/>
      <c r="E457" s="34"/>
      <c r="F457" s="26">
        <f t="shared" si="28"/>
        <v>442</v>
      </c>
      <c r="G457" s="77" t="s">
        <v>462</v>
      </c>
      <c r="H457" s="31">
        <v>10000</v>
      </c>
      <c r="I457" s="31">
        <v>10000</v>
      </c>
      <c r="J457" s="150">
        <v>10000</v>
      </c>
      <c r="K457" s="336">
        <f t="shared" si="31"/>
        <v>100</v>
      </c>
    </row>
    <row r="458" spans="1:11" ht="15">
      <c r="A458" s="36"/>
      <c r="B458" s="91"/>
      <c r="C458" s="91"/>
      <c r="D458" s="34"/>
      <c r="E458" s="34"/>
      <c r="F458" s="26">
        <f t="shared" si="28"/>
        <v>443</v>
      </c>
      <c r="G458" s="77" t="s">
        <v>463</v>
      </c>
      <c r="H458" s="31">
        <v>0</v>
      </c>
      <c r="I458" s="31">
        <f>0+0+8000</f>
        <v>8000</v>
      </c>
      <c r="J458" s="150">
        <v>8000</v>
      </c>
      <c r="K458" s="336">
        <f>J458/I458*100</f>
        <v>100</v>
      </c>
    </row>
    <row r="459" spans="1:11" ht="15">
      <c r="A459" s="36"/>
      <c r="B459" s="91"/>
      <c r="C459" s="91"/>
      <c r="D459" s="34"/>
      <c r="E459" s="34"/>
      <c r="F459" s="26">
        <f t="shared" si="28"/>
        <v>444</v>
      </c>
      <c r="G459" s="77" t="s">
        <v>464</v>
      </c>
      <c r="H459" s="31">
        <v>6000</v>
      </c>
      <c r="I459" s="31">
        <v>6000</v>
      </c>
      <c r="J459" s="150">
        <v>6000</v>
      </c>
      <c r="K459" s="336">
        <f t="shared" si="31"/>
        <v>100</v>
      </c>
    </row>
    <row r="460" spans="1:11" ht="15">
      <c r="A460" s="36"/>
      <c r="B460" s="91"/>
      <c r="C460" s="91"/>
      <c r="D460" s="34"/>
      <c r="E460" s="34"/>
      <c r="F460" s="26">
        <f t="shared" si="28"/>
        <v>445</v>
      </c>
      <c r="G460" s="77" t="s">
        <v>465</v>
      </c>
      <c r="H460" s="31">
        <v>1000</v>
      </c>
      <c r="I460" s="31">
        <v>1000</v>
      </c>
      <c r="J460" s="150">
        <v>0</v>
      </c>
      <c r="K460" s="336">
        <f t="shared" si="31"/>
        <v>0</v>
      </c>
    </row>
    <row r="461" spans="1:11" ht="15">
      <c r="A461" s="36"/>
      <c r="B461" s="91"/>
      <c r="C461" s="91"/>
      <c r="D461" s="34"/>
      <c r="E461" s="34"/>
      <c r="F461" s="26">
        <f t="shared" si="28"/>
        <v>446</v>
      </c>
      <c r="G461" s="77" t="s">
        <v>466</v>
      </c>
      <c r="H461" s="31">
        <v>0</v>
      </c>
      <c r="I461" s="31">
        <v>475500</v>
      </c>
      <c r="J461" s="150">
        <v>475367.86</v>
      </c>
      <c r="K461" s="336">
        <f>J461/I461*100</f>
        <v>99.97221030494217</v>
      </c>
    </row>
    <row r="462" spans="1:11" ht="15">
      <c r="A462" s="36"/>
      <c r="B462" s="91"/>
      <c r="C462" s="91"/>
      <c r="D462" s="34"/>
      <c r="E462" s="34"/>
      <c r="F462" s="26">
        <f t="shared" si="28"/>
        <v>447</v>
      </c>
      <c r="G462" s="77" t="s">
        <v>467</v>
      </c>
      <c r="H462" s="31">
        <v>0</v>
      </c>
      <c r="I462" s="31">
        <v>0</v>
      </c>
      <c r="J462" s="150">
        <v>0</v>
      </c>
      <c r="K462" s="336" t="e">
        <f t="shared" si="31"/>
        <v>#DIV/0!</v>
      </c>
    </row>
    <row r="463" spans="1:11" ht="15">
      <c r="A463" s="36"/>
      <c r="B463" s="91"/>
      <c r="C463" s="91"/>
      <c r="D463" s="34"/>
      <c r="E463" s="34"/>
      <c r="F463" s="26">
        <f t="shared" si="28"/>
        <v>448</v>
      </c>
      <c r="G463" s="77" t="s">
        <v>468</v>
      </c>
      <c r="H463" s="31">
        <v>250000</v>
      </c>
      <c r="I463" s="31">
        <v>0</v>
      </c>
      <c r="J463" s="150">
        <v>0</v>
      </c>
      <c r="K463" s="336" t="e">
        <f t="shared" si="31"/>
        <v>#DIV/0!</v>
      </c>
    </row>
    <row r="464" spans="1:11" ht="15">
      <c r="A464" s="36"/>
      <c r="B464" s="91"/>
      <c r="C464" s="91"/>
      <c r="D464" s="34"/>
      <c r="E464" s="34"/>
      <c r="F464" s="26">
        <f t="shared" si="28"/>
        <v>449</v>
      </c>
      <c r="G464" s="77" t="s">
        <v>469</v>
      </c>
      <c r="H464" s="31">
        <v>0</v>
      </c>
      <c r="I464" s="31">
        <f>0+0+0+0+0+0+41000-41000</f>
        <v>0</v>
      </c>
      <c r="J464" s="150">
        <v>0</v>
      </c>
      <c r="K464" s="336" t="e">
        <f t="shared" si="31"/>
        <v>#DIV/0!</v>
      </c>
    </row>
    <row r="465" spans="1:11" ht="15">
      <c r="A465" s="36"/>
      <c r="B465" s="91"/>
      <c r="C465" s="91"/>
      <c r="D465" s="34"/>
      <c r="E465" s="34"/>
      <c r="F465" s="26">
        <f t="shared" si="28"/>
        <v>450</v>
      </c>
      <c r="G465" s="149" t="s">
        <v>470</v>
      </c>
      <c r="H465" s="137">
        <v>300000</v>
      </c>
      <c r="I465" s="137">
        <f>300000+41000</f>
        <v>341000</v>
      </c>
      <c r="J465" s="157">
        <v>340919.92</v>
      </c>
      <c r="K465" s="343">
        <f t="shared" si="31"/>
        <v>99.97651612903226</v>
      </c>
    </row>
    <row r="466" spans="1:11" ht="15">
      <c r="A466" s="36"/>
      <c r="B466" s="91"/>
      <c r="C466" s="91"/>
      <c r="D466" s="34"/>
      <c r="E466" s="34"/>
      <c r="F466" s="26">
        <f t="shared" si="28"/>
        <v>451</v>
      </c>
      <c r="G466" s="77" t="s">
        <v>471</v>
      </c>
      <c r="H466" s="31">
        <v>0</v>
      </c>
      <c r="I466" s="31">
        <f>0+50000</f>
        <v>50000</v>
      </c>
      <c r="J466" s="150">
        <v>50000</v>
      </c>
      <c r="K466" s="336">
        <f>J466/I466*100</f>
        <v>100</v>
      </c>
    </row>
    <row r="467" spans="1:11" ht="15">
      <c r="A467" s="36"/>
      <c r="B467" s="91"/>
      <c r="C467" s="91"/>
      <c r="D467" s="34"/>
      <c r="E467" s="34"/>
      <c r="F467" s="26">
        <f t="shared" si="28"/>
        <v>452</v>
      </c>
      <c r="G467" s="77" t="s">
        <v>472</v>
      </c>
      <c r="H467" s="31">
        <v>400000</v>
      </c>
      <c r="I467" s="31">
        <v>400000</v>
      </c>
      <c r="J467" s="150">
        <v>400000</v>
      </c>
      <c r="K467" s="336">
        <f>J467/I467*100</f>
        <v>100</v>
      </c>
    </row>
    <row r="468" spans="1:11" ht="15">
      <c r="A468" s="36"/>
      <c r="B468" s="91"/>
      <c r="C468" s="91"/>
      <c r="D468" s="34"/>
      <c r="E468" s="34"/>
      <c r="F468" s="26">
        <f aca="true" t="shared" si="32" ref="F468:F531">F467+1</f>
        <v>453</v>
      </c>
      <c r="G468" s="149" t="s">
        <v>473</v>
      </c>
      <c r="H468" s="137">
        <v>0</v>
      </c>
      <c r="I468" s="137">
        <f>0+0+0+0+0+0+0+0+0+0+0+193800-193800</f>
        <v>0</v>
      </c>
      <c r="J468" s="157">
        <v>0</v>
      </c>
      <c r="K468" s="343" t="e">
        <f>J468/I468*100</f>
        <v>#DIV/0!</v>
      </c>
    </row>
    <row r="469" spans="1:11" ht="15">
      <c r="A469" s="36"/>
      <c r="B469" s="91"/>
      <c r="C469" s="91"/>
      <c r="D469" s="34"/>
      <c r="E469" s="34"/>
      <c r="F469" s="26">
        <f t="shared" si="32"/>
        <v>454</v>
      </c>
      <c r="G469" s="77" t="s">
        <v>474</v>
      </c>
      <c r="H469" s="31">
        <v>0</v>
      </c>
      <c r="I469" s="31">
        <f>0+193800</f>
        <v>193800</v>
      </c>
      <c r="J469" s="150">
        <v>193761</v>
      </c>
      <c r="K469" s="336">
        <f>J469/I469*100</f>
        <v>99.97987616099071</v>
      </c>
    </row>
    <row r="470" spans="1:11" ht="15">
      <c r="A470" s="36"/>
      <c r="B470" s="91"/>
      <c r="C470" s="91"/>
      <c r="D470" s="34"/>
      <c r="E470" s="34"/>
      <c r="F470" s="26">
        <f t="shared" si="32"/>
        <v>455</v>
      </c>
      <c r="G470" s="77"/>
      <c r="H470" s="89"/>
      <c r="I470" s="205"/>
      <c r="J470" s="158"/>
      <c r="K470" s="337"/>
    </row>
    <row r="471" spans="1:11" ht="15">
      <c r="A471" s="36"/>
      <c r="B471" s="91"/>
      <c r="C471" s="91"/>
      <c r="D471" s="34"/>
      <c r="E471" s="34"/>
      <c r="F471" s="26">
        <f t="shared" si="32"/>
        <v>456</v>
      </c>
      <c r="G471" s="206" t="s">
        <v>475</v>
      </c>
      <c r="H471" s="207">
        <f>-H473-H478-H482-H495</f>
        <v>-4309000</v>
      </c>
      <c r="I471" s="207">
        <f>-I473-I478-I482-I495</f>
        <v>-844000</v>
      </c>
      <c r="J471" s="208">
        <f>-J473-J478-J482-J495</f>
        <v>-671718.83</v>
      </c>
      <c r="K471" s="349"/>
    </row>
    <row r="472" spans="1:11" ht="15">
      <c r="A472" s="92" t="s">
        <v>476</v>
      </c>
      <c r="B472" s="87">
        <f>SUM(B473:B475)</f>
        <v>74300</v>
      </c>
      <c r="C472" s="87">
        <f>SUM(C473:C475)</f>
        <v>394000</v>
      </c>
      <c r="D472" s="93">
        <f>SUM(D473:D475)</f>
        <v>393949.4</v>
      </c>
      <c r="E472" s="93">
        <f>D472/C472*100</f>
        <v>99.9871573604061</v>
      </c>
      <c r="F472" s="26">
        <f t="shared" si="32"/>
        <v>457</v>
      </c>
      <c r="G472" s="92" t="s">
        <v>476</v>
      </c>
      <c r="H472" s="71">
        <f>H474+H475+H476+H477+H479+H480+H481+H483+H484+H485+H486+H487+H488+H489+H490+H491+H492+H493+H494+H496+H497+H498</f>
        <v>4309000</v>
      </c>
      <c r="I472" s="71">
        <f>I474+I475+I476+I477+I479+I480+I481+I483+I484+I485+I486+I487+I488+I489+I490+I491+I492+I493+I494+I496+I497+I498</f>
        <v>844000</v>
      </c>
      <c r="J472" s="209">
        <f>J474+J475+J476+J477+J479+J480+J481+J483+J484+J485+J486+J487+J488+J489+J490+J491+J492+J493+J494+J496+J497+J498</f>
        <v>671718.83</v>
      </c>
      <c r="K472" s="216">
        <f aca="true" t="shared" si="33" ref="K472:K498">J472/I472*100</f>
        <v>79.58753909952605</v>
      </c>
    </row>
    <row r="473" spans="1:11" ht="15">
      <c r="A473" s="94" t="s">
        <v>320</v>
      </c>
      <c r="B473" s="23">
        <v>61000</v>
      </c>
      <c r="C473" s="23">
        <f>61000-61000</f>
        <v>0</v>
      </c>
      <c r="D473" s="25">
        <v>0</v>
      </c>
      <c r="E473" s="25" t="e">
        <f>D473/C473*100</f>
        <v>#DIV/0!</v>
      </c>
      <c r="F473" s="26">
        <f t="shared" si="32"/>
        <v>458</v>
      </c>
      <c r="G473" s="171" t="s">
        <v>477</v>
      </c>
      <c r="H473" s="62">
        <f>SUM(H474:H477)</f>
        <v>120000</v>
      </c>
      <c r="I473" s="62">
        <f>SUM(I474:I477)</f>
        <v>120000</v>
      </c>
      <c r="J473" s="63">
        <f>SUM(J474:J477)</f>
        <v>62999</v>
      </c>
      <c r="K473" s="336">
        <f t="shared" si="33"/>
        <v>52.49916666666666</v>
      </c>
    </row>
    <row r="474" spans="1:11" ht="15">
      <c r="A474" s="94" t="s">
        <v>322</v>
      </c>
      <c r="B474" s="23">
        <v>13300</v>
      </c>
      <c r="C474" s="23">
        <f>13300-13300</f>
        <v>0</v>
      </c>
      <c r="D474" s="25">
        <v>0</v>
      </c>
      <c r="E474" s="25" t="e">
        <f>D474/C474*100</f>
        <v>#DIV/0!</v>
      </c>
      <c r="F474" s="26">
        <f t="shared" si="32"/>
        <v>459</v>
      </c>
      <c r="G474" s="165" t="s">
        <v>478</v>
      </c>
      <c r="H474" s="31">
        <v>0</v>
      </c>
      <c r="I474" s="31">
        <f>0+0+0+1000+0+0+0+0+0+0+800</f>
        <v>1800</v>
      </c>
      <c r="J474" s="24">
        <v>1798</v>
      </c>
      <c r="K474" s="336">
        <f t="shared" si="33"/>
        <v>99.8888888888889</v>
      </c>
    </row>
    <row r="475" spans="1:11" ht="15">
      <c r="A475" s="94" t="s">
        <v>479</v>
      </c>
      <c r="B475" s="23">
        <v>0</v>
      </c>
      <c r="C475" s="23">
        <f>0+0+0+0+0+0+0+0+398900-4900</f>
        <v>394000</v>
      </c>
      <c r="D475" s="25">
        <v>393949.4</v>
      </c>
      <c r="E475" s="25">
        <f>D475/C475*100</f>
        <v>99.9871573604061</v>
      </c>
      <c r="F475" s="26">
        <f t="shared" si="32"/>
        <v>460</v>
      </c>
      <c r="G475" s="210" t="s">
        <v>480</v>
      </c>
      <c r="H475" s="170">
        <v>0</v>
      </c>
      <c r="I475" s="170">
        <f>0+0+2800+29800+11800</f>
        <v>44400</v>
      </c>
      <c r="J475" s="166">
        <v>44399</v>
      </c>
      <c r="K475" s="336">
        <f t="shared" si="33"/>
        <v>99.99774774774775</v>
      </c>
    </row>
    <row r="476" spans="1:11" ht="15">
      <c r="A476" s="36"/>
      <c r="B476" s="91"/>
      <c r="C476" s="91"/>
      <c r="D476" s="34"/>
      <c r="E476" s="34"/>
      <c r="F476" s="26">
        <f t="shared" si="32"/>
        <v>461</v>
      </c>
      <c r="G476" s="211" t="s">
        <v>481</v>
      </c>
      <c r="H476" s="170"/>
      <c r="I476" s="170">
        <v>16900</v>
      </c>
      <c r="J476" s="166">
        <v>16802</v>
      </c>
      <c r="K476" s="336">
        <f t="shared" si="33"/>
        <v>99.42011834319527</v>
      </c>
    </row>
    <row r="477" spans="1:11" ht="15">
      <c r="A477" s="212"/>
      <c r="B477" s="91"/>
      <c r="C477" s="91"/>
      <c r="D477" s="34"/>
      <c r="E477" s="34"/>
      <c r="F477" s="26">
        <f t="shared" si="32"/>
        <v>462</v>
      </c>
      <c r="G477" s="151" t="s">
        <v>482</v>
      </c>
      <c r="H477" s="170">
        <f>90000+30000</f>
        <v>120000</v>
      </c>
      <c r="I477" s="170">
        <v>56900</v>
      </c>
      <c r="J477" s="166">
        <v>0</v>
      </c>
      <c r="K477" s="336">
        <f t="shared" si="33"/>
        <v>0</v>
      </c>
    </row>
    <row r="478" spans="1:11" ht="15">
      <c r="A478" s="36"/>
      <c r="B478" s="91"/>
      <c r="C478" s="91"/>
      <c r="D478" s="91"/>
      <c r="E478" s="91"/>
      <c r="F478" s="26">
        <f t="shared" si="32"/>
        <v>463</v>
      </c>
      <c r="G478" s="191" t="s">
        <v>483</v>
      </c>
      <c r="H478" s="69">
        <f>SUM(H479:H481)</f>
        <v>3471000</v>
      </c>
      <c r="I478" s="69">
        <f>SUM(I479:I481)</f>
        <v>0</v>
      </c>
      <c r="J478" s="70">
        <f>SUM(J479:J481)</f>
        <v>0</v>
      </c>
      <c r="K478" s="336" t="e">
        <f t="shared" si="33"/>
        <v>#DIV/0!</v>
      </c>
    </row>
    <row r="479" spans="1:11" ht="15">
      <c r="A479" s="36"/>
      <c r="B479" s="91"/>
      <c r="C479" s="91"/>
      <c r="D479" s="34"/>
      <c r="E479" s="34"/>
      <c r="F479" s="26">
        <f t="shared" si="32"/>
        <v>464</v>
      </c>
      <c r="G479" s="128" t="s">
        <v>484</v>
      </c>
      <c r="H479" s="152">
        <v>350000</v>
      </c>
      <c r="I479" s="152">
        <v>0</v>
      </c>
      <c r="J479" s="150">
        <v>0</v>
      </c>
      <c r="K479" s="336" t="e">
        <f>J479/I479*100</f>
        <v>#DIV/0!</v>
      </c>
    </row>
    <row r="480" spans="1:11" ht="15">
      <c r="A480" s="36"/>
      <c r="B480" s="91"/>
      <c r="C480" s="91"/>
      <c r="D480" s="34"/>
      <c r="E480" s="34"/>
      <c r="F480" s="26">
        <f t="shared" si="32"/>
        <v>465</v>
      </c>
      <c r="G480" s="77" t="s">
        <v>323</v>
      </c>
      <c r="H480" s="170">
        <v>821000</v>
      </c>
      <c r="I480" s="170">
        <f>821000+0+0+0-821000</f>
        <v>0</v>
      </c>
      <c r="J480" s="150">
        <v>0</v>
      </c>
      <c r="K480" s="336" t="e">
        <f t="shared" si="33"/>
        <v>#DIV/0!</v>
      </c>
    </row>
    <row r="481" spans="1:11" ht="15">
      <c r="A481" s="36"/>
      <c r="B481" s="91"/>
      <c r="C481" s="91"/>
      <c r="D481" s="34"/>
      <c r="E481" s="34"/>
      <c r="F481" s="26">
        <f t="shared" si="32"/>
        <v>466</v>
      </c>
      <c r="G481" s="168" t="s">
        <v>324</v>
      </c>
      <c r="H481" s="169">
        <v>2300000</v>
      </c>
      <c r="I481" s="169">
        <f>2300000+0+0+0-2300000</f>
        <v>0</v>
      </c>
      <c r="J481" s="157">
        <v>0</v>
      </c>
      <c r="K481" s="343" t="e">
        <f t="shared" si="33"/>
        <v>#DIV/0!</v>
      </c>
    </row>
    <row r="482" spans="1:11" ht="15">
      <c r="A482" s="213"/>
      <c r="B482" s="214"/>
      <c r="C482" s="214"/>
      <c r="D482" s="215"/>
      <c r="E482" s="323"/>
      <c r="F482" s="26">
        <f t="shared" si="32"/>
        <v>467</v>
      </c>
      <c r="G482" s="191" t="s">
        <v>485</v>
      </c>
      <c r="H482" s="81">
        <f>SUM(H483:H494)</f>
        <v>650000</v>
      </c>
      <c r="I482" s="81">
        <f>SUM(I483:I494)</f>
        <v>666000</v>
      </c>
      <c r="J482" s="216">
        <f>SUM(J483:J494)</f>
        <v>550719.83</v>
      </c>
      <c r="K482" s="336">
        <f t="shared" si="33"/>
        <v>82.69066516516516</v>
      </c>
    </row>
    <row r="483" spans="1:11" ht="15">
      <c r="A483" s="213"/>
      <c r="B483" s="214"/>
      <c r="C483" s="214"/>
      <c r="D483" s="215"/>
      <c r="E483" s="323"/>
      <c r="F483" s="26">
        <f t="shared" si="32"/>
        <v>468</v>
      </c>
      <c r="G483" s="77" t="s">
        <v>486</v>
      </c>
      <c r="H483" s="152">
        <v>0</v>
      </c>
      <c r="I483" s="170">
        <f>0+28000</f>
        <v>28000</v>
      </c>
      <c r="J483" s="166">
        <v>27980</v>
      </c>
      <c r="K483" s="336">
        <f>J483/I483*100</f>
        <v>99.92857142857143</v>
      </c>
    </row>
    <row r="484" spans="1:11" ht="15">
      <c r="A484" s="213"/>
      <c r="B484" s="214"/>
      <c r="C484" s="214"/>
      <c r="D484" s="215"/>
      <c r="E484" s="323"/>
      <c r="F484" s="26">
        <f t="shared" si="32"/>
        <v>469</v>
      </c>
      <c r="G484" s="77" t="s">
        <v>487</v>
      </c>
      <c r="H484" s="152">
        <v>0</v>
      </c>
      <c r="I484" s="152">
        <f>28000-28000</f>
        <v>0</v>
      </c>
      <c r="J484" s="150">
        <v>0</v>
      </c>
      <c r="K484" s="336" t="e">
        <f>J484/I484*100</f>
        <v>#DIV/0!</v>
      </c>
    </row>
    <row r="485" spans="1:11" ht="15">
      <c r="A485" s="217"/>
      <c r="B485" s="214"/>
      <c r="C485" s="214"/>
      <c r="D485" s="215"/>
      <c r="E485" s="323"/>
      <c r="F485" s="26">
        <f t="shared" si="32"/>
        <v>470</v>
      </c>
      <c r="G485" s="77" t="s">
        <v>488</v>
      </c>
      <c r="H485" s="152">
        <v>0</v>
      </c>
      <c r="I485" s="152">
        <v>10000</v>
      </c>
      <c r="J485" s="150">
        <v>703</v>
      </c>
      <c r="K485" s="336">
        <f t="shared" si="33"/>
        <v>7.03</v>
      </c>
    </row>
    <row r="486" spans="1:11" ht="15">
      <c r="A486" s="217"/>
      <c r="B486" s="214"/>
      <c r="C486" s="214"/>
      <c r="D486" s="215"/>
      <c r="E486" s="323"/>
      <c r="F486" s="26">
        <f t="shared" si="32"/>
        <v>471</v>
      </c>
      <c r="G486" s="77" t="s">
        <v>489</v>
      </c>
      <c r="H486" s="152">
        <v>0</v>
      </c>
      <c r="I486" s="152">
        <f>0+0+0+0+0+0+0+900+1600</f>
        <v>2500</v>
      </c>
      <c r="J486" s="150">
        <v>2498</v>
      </c>
      <c r="K486" s="336">
        <f t="shared" si="33"/>
        <v>99.92</v>
      </c>
    </row>
    <row r="487" spans="1:11" ht="15">
      <c r="A487" s="217"/>
      <c r="B487" s="214"/>
      <c r="C487" s="214"/>
      <c r="D487" s="215"/>
      <c r="E487" s="323"/>
      <c r="F487" s="26">
        <f t="shared" si="32"/>
        <v>472</v>
      </c>
      <c r="G487" s="77" t="s">
        <v>490</v>
      </c>
      <c r="H487" s="152">
        <v>0</v>
      </c>
      <c r="I487" s="152">
        <f>0+0+0+0+0+0+0+0+0+0+3400</f>
        <v>3400</v>
      </c>
      <c r="J487" s="150">
        <v>3364</v>
      </c>
      <c r="K487" s="336">
        <f t="shared" si="33"/>
        <v>98.94117647058823</v>
      </c>
    </row>
    <row r="488" spans="1:11" ht="15">
      <c r="A488" s="217"/>
      <c r="B488" s="214"/>
      <c r="C488" s="214"/>
      <c r="D488" s="215"/>
      <c r="E488" s="323"/>
      <c r="F488" s="26">
        <f t="shared" si="32"/>
        <v>473</v>
      </c>
      <c r="G488" s="77" t="s">
        <v>491</v>
      </c>
      <c r="H488" s="152">
        <v>0</v>
      </c>
      <c r="I488" s="152">
        <f>0+0+0+0+0+15000</f>
        <v>15000</v>
      </c>
      <c r="J488" s="150">
        <v>15000</v>
      </c>
      <c r="K488" s="336">
        <f t="shared" si="33"/>
        <v>100</v>
      </c>
    </row>
    <row r="489" spans="1:11" ht="15">
      <c r="A489" s="217"/>
      <c r="B489" s="214"/>
      <c r="C489" s="214"/>
      <c r="D489" s="215"/>
      <c r="E489" s="323"/>
      <c r="F489" s="26">
        <f t="shared" si="32"/>
        <v>474</v>
      </c>
      <c r="G489" s="77" t="s">
        <v>492</v>
      </c>
      <c r="H489" s="152">
        <v>0</v>
      </c>
      <c r="I489" s="152">
        <f>0+0+0+0+0+0+0+10000+7100</f>
        <v>17100</v>
      </c>
      <c r="J489" s="150">
        <v>17072</v>
      </c>
      <c r="K489" s="336">
        <f t="shared" si="33"/>
        <v>99.83625730994152</v>
      </c>
    </row>
    <row r="490" spans="1:11" ht="15">
      <c r="A490" s="217"/>
      <c r="B490" s="214"/>
      <c r="C490" s="214"/>
      <c r="D490" s="215"/>
      <c r="E490" s="323"/>
      <c r="F490" s="26">
        <f t="shared" si="32"/>
        <v>475</v>
      </c>
      <c r="G490" s="77" t="s">
        <v>493</v>
      </c>
      <c r="H490" s="152">
        <v>0</v>
      </c>
      <c r="I490" s="152">
        <v>39500</v>
      </c>
      <c r="J490" s="150">
        <v>31399</v>
      </c>
      <c r="K490" s="336">
        <f t="shared" si="33"/>
        <v>79.49113924050633</v>
      </c>
    </row>
    <row r="491" spans="1:11" ht="15">
      <c r="A491" s="217"/>
      <c r="B491" s="214"/>
      <c r="C491" s="214"/>
      <c r="D491" s="215"/>
      <c r="E491" s="323"/>
      <c r="F491" s="26">
        <f t="shared" si="32"/>
        <v>476</v>
      </c>
      <c r="G491" s="77" t="s">
        <v>494</v>
      </c>
      <c r="H491" s="152">
        <v>0</v>
      </c>
      <c r="I491" s="152">
        <f>0+200000+0+0+50000+0+0-10900+0+0-3400-8700</f>
        <v>227000</v>
      </c>
      <c r="J491" s="150">
        <v>225680</v>
      </c>
      <c r="K491" s="336">
        <f t="shared" si="33"/>
        <v>99.41850220264317</v>
      </c>
    </row>
    <row r="492" spans="1:11" ht="15">
      <c r="A492" s="36"/>
      <c r="B492" s="91"/>
      <c r="C492" s="91"/>
      <c r="D492" s="34"/>
      <c r="E492" s="34"/>
      <c r="F492" s="26">
        <f t="shared" si="32"/>
        <v>477</v>
      </c>
      <c r="G492" s="77" t="s">
        <v>495</v>
      </c>
      <c r="H492" s="170">
        <v>300000</v>
      </c>
      <c r="I492" s="170">
        <v>266500</v>
      </c>
      <c r="J492" s="150">
        <v>227023.83</v>
      </c>
      <c r="K492" s="336">
        <f>J492/I492*100</f>
        <v>85.18717823639774</v>
      </c>
    </row>
    <row r="493" spans="1:11" ht="15">
      <c r="A493" s="36"/>
      <c r="B493" s="91"/>
      <c r="C493" s="91"/>
      <c r="D493" s="34"/>
      <c r="E493" s="34"/>
      <c r="F493" s="26">
        <f t="shared" si="32"/>
        <v>478</v>
      </c>
      <c r="G493" s="77" t="s">
        <v>496</v>
      </c>
      <c r="H493" s="152">
        <v>100000</v>
      </c>
      <c r="I493" s="152">
        <v>57000</v>
      </c>
      <c r="J493" s="150">
        <v>0</v>
      </c>
      <c r="K493" s="336">
        <f>J493/I493*100</f>
        <v>0</v>
      </c>
    </row>
    <row r="494" spans="1:11" ht="15">
      <c r="A494" s="36"/>
      <c r="B494" s="91"/>
      <c r="C494" s="91"/>
      <c r="D494" s="34"/>
      <c r="E494" s="34"/>
      <c r="F494" s="26">
        <f t="shared" si="32"/>
        <v>479</v>
      </c>
      <c r="G494" s="77" t="s">
        <v>497</v>
      </c>
      <c r="H494" s="152">
        <v>250000</v>
      </c>
      <c r="I494" s="152">
        <f>250000-200000+0+0-50000</f>
        <v>0</v>
      </c>
      <c r="J494" s="150">
        <v>0</v>
      </c>
      <c r="K494" s="336" t="e">
        <f t="shared" si="33"/>
        <v>#DIV/0!</v>
      </c>
    </row>
    <row r="495" spans="1:11" ht="15">
      <c r="A495" s="36"/>
      <c r="B495" s="91"/>
      <c r="C495" s="91"/>
      <c r="D495" s="34"/>
      <c r="E495" s="34"/>
      <c r="F495" s="26">
        <f t="shared" si="32"/>
        <v>480</v>
      </c>
      <c r="G495" s="191" t="s">
        <v>498</v>
      </c>
      <c r="H495" s="69">
        <f>SUM(H496:H498)</f>
        <v>68000</v>
      </c>
      <c r="I495" s="69">
        <f>SUM(I496:I498)</f>
        <v>58000</v>
      </c>
      <c r="J495" s="70">
        <f>SUM(J496:J498)</f>
        <v>58000</v>
      </c>
      <c r="K495" s="336">
        <f t="shared" si="33"/>
        <v>100</v>
      </c>
    </row>
    <row r="496" spans="1:11" ht="15">
      <c r="A496" s="36"/>
      <c r="B496" s="91"/>
      <c r="C496" s="91"/>
      <c r="D496" s="34"/>
      <c r="E496" s="34"/>
      <c r="F496" s="26">
        <f t="shared" si="32"/>
        <v>481</v>
      </c>
      <c r="G496" s="77" t="s">
        <v>499</v>
      </c>
      <c r="H496" s="170">
        <v>43000</v>
      </c>
      <c r="I496" s="170">
        <v>43000</v>
      </c>
      <c r="J496" s="73">
        <v>43000</v>
      </c>
      <c r="K496" s="336">
        <f t="shared" si="33"/>
        <v>100</v>
      </c>
    </row>
    <row r="497" spans="1:11" ht="15">
      <c r="A497" s="36"/>
      <c r="B497" s="91"/>
      <c r="C497" s="91"/>
      <c r="D497" s="34"/>
      <c r="E497" s="34"/>
      <c r="F497" s="26">
        <f t="shared" si="32"/>
        <v>482</v>
      </c>
      <c r="G497" s="148" t="s">
        <v>500</v>
      </c>
      <c r="H497" s="170">
        <v>15000</v>
      </c>
      <c r="I497" s="170">
        <v>15000</v>
      </c>
      <c r="J497" s="150">
        <v>15000</v>
      </c>
      <c r="K497" s="336">
        <f t="shared" si="33"/>
        <v>100</v>
      </c>
    </row>
    <row r="498" spans="1:11" ht="15">
      <c r="A498" s="36"/>
      <c r="B498" s="91"/>
      <c r="C498" s="91"/>
      <c r="D498" s="34"/>
      <c r="E498" s="34"/>
      <c r="F498" s="26">
        <f t="shared" si="32"/>
        <v>483</v>
      </c>
      <c r="G498" s="77" t="s">
        <v>326</v>
      </c>
      <c r="H498" s="170">
        <v>10000</v>
      </c>
      <c r="I498" s="170">
        <f>10000+0+0+0-10000</f>
        <v>0</v>
      </c>
      <c r="J498" s="150"/>
      <c r="K498" s="336" t="e">
        <f t="shared" si="33"/>
        <v>#DIV/0!</v>
      </c>
    </row>
    <row r="499" spans="1:11" ht="15">
      <c r="A499" s="58"/>
      <c r="B499" s="91"/>
      <c r="C499" s="91"/>
      <c r="D499" s="34"/>
      <c r="E499" s="34"/>
      <c r="F499" s="26">
        <f t="shared" si="32"/>
        <v>484</v>
      </c>
      <c r="G499" s="191"/>
      <c r="H499" s="218"/>
      <c r="I499" s="218"/>
      <c r="J499" s="218"/>
      <c r="K499" s="350"/>
    </row>
    <row r="500" spans="1:11" ht="15">
      <c r="A500" s="68" t="s">
        <v>501</v>
      </c>
      <c r="B500" s="69">
        <f>SUM(B501:B512)</f>
        <v>1000</v>
      </c>
      <c r="C500" s="69">
        <f>SUM(C501:C503)</f>
        <v>1000</v>
      </c>
      <c r="D500" s="70">
        <f>SUM(D501:D503)</f>
        <v>0</v>
      </c>
      <c r="E500" s="63">
        <f>D500/C500*100</f>
        <v>0</v>
      </c>
      <c r="F500" s="26">
        <f t="shared" si="32"/>
        <v>485</v>
      </c>
      <c r="G500" s="68" t="s">
        <v>501</v>
      </c>
      <c r="H500" s="69">
        <f>SUM(H501:H512)</f>
        <v>234300</v>
      </c>
      <c r="I500" s="69">
        <f>SUM(I501:I512)</f>
        <v>294100</v>
      </c>
      <c r="J500" s="70">
        <f>SUM(J501:J512)</f>
        <v>267710.92000000004</v>
      </c>
      <c r="K500" s="216">
        <f aca="true" t="shared" si="34" ref="K500:K512">J500/I500*100</f>
        <v>91.02717443046583</v>
      </c>
    </row>
    <row r="501" spans="1:11" ht="15">
      <c r="A501" s="77" t="s">
        <v>502</v>
      </c>
      <c r="B501" s="31">
        <v>1000</v>
      </c>
      <c r="C501" s="152">
        <f>0+1000</f>
        <v>1000</v>
      </c>
      <c r="D501" s="150">
        <v>0</v>
      </c>
      <c r="E501" s="24">
        <f>D501/C501*100</f>
        <v>0</v>
      </c>
      <c r="F501" s="26">
        <f t="shared" si="32"/>
        <v>486</v>
      </c>
      <c r="G501" s="77" t="s">
        <v>503</v>
      </c>
      <c r="H501" s="31">
        <v>10000</v>
      </c>
      <c r="I501" s="31">
        <f>10000+0+7800</f>
        <v>17800</v>
      </c>
      <c r="J501" s="150">
        <v>17600</v>
      </c>
      <c r="K501" s="336">
        <f t="shared" si="34"/>
        <v>98.87640449438202</v>
      </c>
    </row>
    <row r="502" spans="1:11" ht="15">
      <c r="A502" s="219"/>
      <c r="B502" s="59"/>
      <c r="C502" s="59"/>
      <c r="D502" s="57"/>
      <c r="E502" s="323"/>
      <c r="F502" s="26">
        <f t="shared" si="32"/>
        <v>487</v>
      </c>
      <c r="G502" s="77" t="s">
        <v>504</v>
      </c>
      <c r="H502" s="31">
        <v>10000</v>
      </c>
      <c r="I502" s="31">
        <v>3300</v>
      </c>
      <c r="J502" s="150">
        <v>1200</v>
      </c>
      <c r="K502" s="336">
        <f t="shared" si="34"/>
        <v>36.36363636363637</v>
      </c>
    </row>
    <row r="503" spans="1:11" ht="15">
      <c r="A503" s="33"/>
      <c r="B503" s="177"/>
      <c r="C503" s="177"/>
      <c r="D503" s="323"/>
      <c r="E503" s="323"/>
      <c r="F503" s="26">
        <f t="shared" si="32"/>
        <v>488</v>
      </c>
      <c r="G503" s="77" t="s">
        <v>505</v>
      </c>
      <c r="H503" s="31">
        <v>30000</v>
      </c>
      <c r="I503" s="31">
        <f>30000-6600-19800</f>
        <v>3600</v>
      </c>
      <c r="J503" s="150">
        <v>0</v>
      </c>
      <c r="K503" s="336">
        <f t="shared" si="34"/>
        <v>0</v>
      </c>
    </row>
    <row r="504" spans="1:11" ht="15">
      <c r="A504" s="36"/>
      <c r="B504" s="91"/>
      <c r="C504" s="91"/>
      <c r="D504" s="34"/>
      <c r="E504" s="34"/>
      <c r="F504" s="26">
        <f t="shared" si="32"/>
        <v>489</v>
      </c>
      <c r="G504" s="77" t="s">
        <v>506</v>
      </c>
      <c r="H504" s="31">
        <v>10000</v>
      </c>
      <c r="I504" s="31">
        <v>17700</v>
      </c>
      <c r="J504" s="150">
        <v>17637</v>
      </c>
      <c r="K504" s="336">
        <f t="shared" si="34"/>
        <v>99.64406779661017</v>
      </c>
    </row>
    <row r="505" spans="1:11" ht="15">
      <c r="A505" s="36"/>
      <c r="B505" s="91"/>
      <c r="C505" s="91"/>
      <c r="D505" s="34"/>
      <c r="E505" s="34"/>
      <c r="F505" s="26">
        <f t="shared" si="32"/>
        <v>490</v>
      </c>
      <c r="G505" s="77" t="s">
        <v>507</v>
      </c>
      <c r="H505" s="31">
        <v>4300</v>
      </c>
      <c r="I505" s="31">
        <v>4600</v>
      </c>
      <c r="J505" s="150">
        <v>4515</v>
      </c>
      <c r="K505" s="336">
        <f t="shared" si="34"/>
        <v>98.15217391304348</v>
      </c>
    </row>
    <row r="506" spans="1:11" ht="15">
      <c r="A506" s="172"/>
      <c r="B506" s="66"/>
      <c r="C506" s="66"/>
      <c r="D506" s="327"/>
      <c r="E506" s="327"/>
      <c r="F506" s="26">
        <f t="shared" si="32"/>
        <v>491</v>
      </c>
      <c r="G506" s="77" t="s">
        <v>508</v>
      </c>
      <c r="H506" s="31">
        <v>30000</v>
      </c>
      <c r="I506" s="31">
        <v>30000</v>
      </c>
      <c r="J506" s="150">
        <v>24790.32</v>
      </c>
      <c r="K506" s="336">
        <f t="shared" si="34"/>
        <v>82.6344</v>
      </c>
    </row>
    <row r="507" spans="1:11" ht="15">
      <c r="A507" s="172"/>
      <c r="B507" s="66"/>
      <c r="C507" s="66"/>
      <c r="D507" s="327"/>
      <c r="E507" s="327"/>
      <c r="F507" s="26">
        <f t="shared" si="32"/>
        <v>492</v>
      </c>
      <c r="G507" s="77" t="s">
        <v>509</v>
      </c>
      <c r="H507" s="31">
        <v>1000</v>
      </c>
      <c r="I507" s="31">
        <v>1000</v>
      </c>
      <c r="J507" s="150">
        <v>0</v>
      </c>
      <c r="K507" s="336">
        <f t="shared" si="34"/>
        <v>0</v>
      </c>
    </row>
    <row r="508" spans="1:11" ht="15">
      <c r="A508" s="172"/>
      <c r="B508" s="66"/>
      <c r="C508" s="66"/>
      <c r="D508" s="327"/>
      <c r="E508" s="327"/>
      <c r="F508" s="26">
        <f t="shared" si="32"/>
        <v>493</v>
      </c>
      <c r="G508" s="77" t="s">
        <v>510</v>
      </c>
      <c r="H508" s="31">
        <v>15000</v>
      </c>
      <c r="I508" s="31">
        <v>15800</v>
      </c>
      <c r="J508" s="150">
        <v>15800</v>
      </c>
      <c r="K508" s="336">
        <f t="shared" si="34"/>
        <v>100</v>
      </c>
    </row>
    <row r="509" spans="1:11" ht="15">
      <c r="A509" s="33"/>
      <c r="B509" s="177"/>
      <c r="C509" s="177"/>
      <c r="D509" s="323"/>
      <c r="E509" s="323"/>
      <c r="F509" s="26">
        <f t="shared" si="32"/>
        <v>494</v>
      </c>
      <c r="G509" s="77" t="s">
        <v>511</v>
      </c>
      <c r="H509" s="31">
        <v>100000</v>
      </c>
      <c r="I509" s="31">
        <v>100300</v>
      </c>
      <c r="J509" s="150">
        <v>100267.5</v>
      </c>
      <c r="K509" s="336">
        <f t="shared" si="34"/>
        <v>99.96759720837487</v>
      </c>
    </row>
    <row r="510" spans="1:11" ht="15">
      <c r="A510" s="33"/>
      <c r="B510" s="177"/>
      <c r="C510" s="177"/>
      <c r="D510" s="323"/>
      <c r="E510" s="323"/>
      <c r="F510" s="26">
        <f t="shared" si="32"/>
        <v>495</v>
      </c>
      <c r="G510" s="77" t="s">
        <v>512</v>
      </c>
      <c r="H510" s="31">
        <v>10000</v>
      </c>
      <c r="I510" s="31">
        <f>11000+0+0+0+0+2600+52000+2800</f>
        <v>68400</v>
      </c>
      <c r="J510" s="150">
        <v>68377.1</v>
      </c>
      <c r="K510" s="336">
        <f t="shared" si="34"/>
        <v>99.96652046783626</v>
      </c>
    </row>
    <row r="511" spans="1:11" ht="15">
      <c r="A511" s="33"/>
      <c r="B511" s="177"/>
      <c r="C511" s="177"/>
      <c r="D511" s="323"/>
      <c r="E511" s="323"/>
      <c r="F511" s="26">
        <f t="shared" si="32"/>
        <v>496</v>
      </c>
      <c r="G511" s="77" t="s">
        <v>513</v>
      </c>
      <c r="H511" s="31">
        <v>12000</v>
      </c>
      <c r="I511" s="31">
        <f>11000+6600+12000</f>
        <v>29600</v>
      </c>
      <c r="J511" s="150">
        <v>17524</v>
      </c>
      <c r="K511" s="336">
        <f t="shared" si="34"/>
        <v>59.2027027027027</v>
      </c>
    </row>
    <row r="512" spans="1:11" ht="15">
      <c r="A512" s="33"/>
      <c r="B512" s="177"/>
      <c r="C512" s="177"/>
      <c r="D512" s="323"/>
      <c r="E512" s="323"/>
      <c r="F512" s="26">
        <f t="shared" si="32"/>
        <v>497</v>
      </c>
      <c r="G512" s="128" t="s">
        <v>514</v>
      </c>
      <c r="H512" s="31">
        <v>2000</v>
      </c>
      <c r="I512" s="31">
        <v>2000</v>
      </c>
      <c r="J512" s="150">
        <v>0</v>
      </c>
      <c r="K512" s="336">
        <f t="shared" si="34"/>
        <v>0</v>
      </c>
    </row>
    <row r="513" spans="1:11" ht="15">
      <c r="A513" s="36"/>
      <c r="B513" s="177"/>
      <c r="C513" s="177"/>
      <c r="D513" s="323"/>
      <c r="E513" s="323"/>
      <c r="F513" s="26">
        <f t="shared" si="32"/>
        <v>498</v>
      </c>
      <c r="G513" s="77"/>
      <c r="H513" s="79"/>
      <c r="I513" s="79"/>
      <c r="J513" s="79"/>
      <c r="K513" s="337"/>
    </row>
    <row r="514" spans="1:11" ht="15">
      <c r="A514" s="217"/>
      <c r="B514" s="131"/>
      <c r="C514" s="131"/>
      <c r="D514" s="132"/>
      <c r="E514" s="67"/>
      <c r="F514" s="26">
        <f t="shared" si="32"/>
        <v>499</v>
      </c>
      <c r="G514" s="220" t="s">
        <v>515</v>
      </c>
      <c r="H514" s="69">
        <f>SUM(H515:H521)</f>
        <v>29000</v>
      </c>
      <c r="I514" s="69">
        <f>SUM(I515:I521)</f>
        <v>53500</v>
      </c>
      <c r="J514" s="70">
        <f>SUM(J515:J521)</f>
        <v>53500</v>
      </c>
      <c r="K514" s="216">
        <f aca="true" t="shared" si="35" ref="K514:K521">J514/I514*100</f>
        <v>100</v>
      </c>
    </row>
    <row r="515" spans="1:11" ht="15">
      <c r="A515" s="217"/>
      <c r="B515" s="131"/>
      <c r="C515" s="131"/>
      <c r="D515" s="132"/>
      <c r="E515" s="67"/>
      <c r="F515" s="26">
        <f t="shared" si="32"/>
        <v>500</v>
      </c>
      <c r="G515" s="77" t="s">
        <v>516</v>
      </c>
      <c r="H515" s="31">
        <v>10000</v>
      </c>
      <c r="I515" s="31">
        <f>10000+0+15000</f>
        <v>25000</v>
      </c>
      <c r="J515" s="73">
        <v>25000</v>
      </c>
      <c r="K515" s="336">
        <f t="shared" si="35"/>
        <v>100</v>
      </c>
    </row>
    <row r="516" spans="1:11" ht="15">
      <c r="A516" s="58"/>
      <c r="B516" s="59"/>
      <c r="C516" s="59"/>
      <c r="D516" s="57"/>
      <c r="E516" s="60"/>
      <c r="F516" s="26">
        <f t="shared" si="32"/>
        <v>501</v>
      </c>
      <c r="G516" s="77" t="s">
        <v>517</v>
      </c>
      <c r="H516" s="31">
        <v>4000</v>
      </c>
      <c r="I516" s="31">
        <v>4000</v>
      </c>
      <c r="J516" s="150">
        <v>4000</v>
      </c>
      <c r="K516" s="336">
        <f t="shared" si="35"/>
        <v>100</v>
      </c>
    </row>
    <row r="517" spans="1:11" ht="15">
      <c r="A517" s="58"/>
      <c r="B517" s="59"/>
      <c r="C517" s="59"/>
      <c r="D517" s="57"/>
      <c r="E517" s="60"/>
      <c r="F517" s="26">
        <f t="shared" si="32"/>
        <v>502</v>
      </c>
      <c r="G517" s="77" t="s">
        <v>518</v>
      </c>
      <c r="H517" s="31">
        <v>10000</v>
      </c>
      <c r="I517" s="31">
        <v>10000</v>
      </c>
      <c r="J517" s="150">
        <v>10000</v>
      </c>
      <c r="K517" s="336">
        <f t="shared" si="35"/>
        <v>100</v>
      </c>
    </row>
    <row r="518" spans="1:11" ht="15">
      <c r="A518" s="58"/>
      <c r="B518" s="59"/>
      <c r="C518" s="59"/>
      <c r="D518" s="57"/>
      <c r="E518" s="60"/>
      <c r="F518" s="26">
        <f t="shared" si="32"/>
        <v>503</v>
      </c>
      <c r="G518" s="148" t="s">
        <v>519</v>
      </c>
      <c r="H518" s="31">
        <v>5000</v>
      </c>
      <c r="I518" s="31">
        <v>5000</v>
      </c>
      <c r="J518" s="150">
        <v>5000</v>
      </c>
      <c r="K518" s="336">
        <f t="shared" si="35"/>
        <v>100</v>
      </c>
    </row>
    <row r="519" spans="1:11" ht="15">
      <c r="A519" s="58"/>
      <c r="B519" s="59"/>
      <c r="C519" s="59"/>
      <c r="D519" s="57"/>
      <c r="E519" s="60"/>
      <c r="F519" s="26">
        <f t="shared" si="32"/>
        <v>504</v>
      </c>
      <c r="G519" s="148" t="s">
        <v>520</v>
      </c>
      <c r="H519" s="31">
        <v>0</v>
      </c>
      <c r="I519" s="31">
        <f>0+0+2000</f>
        <v>2000</v>
      </c>
      <c r="J519" s="150">
        <v>2000</v>
      </c>
      <c r="K519" s="336">
        <f t="shared" si="35"/>
        <v>100</v>
      </c>
    </row>
    <row r="520" spans="1:11" ht="15">
      <c r="A520" s="58"/>
      <c r="B520" s="59"/>
      <c r="C520" s="59"/>
      <c r="D520" s="57"/>
      <c r="E520" s="60"/>
      <c r="F520" s="26">
        <f t="shared" si="32"/>
        <v>505</v>
      </c>
      <c r="G520" s="148" t="s">
        <v>521</v>
      </c>
      <c r="H520" s="31">
        <v>0</v>
      </c>
      <c r="I520" s="31">
        <f>0+0+0+0+5000</f>
        <v>5000</v>
      </c>
      <c r="J520" s="150">
        <v>5000</v>
      </c>
      <c r="K520" s="336">
        <f t="shared" si="35"/>
        <v>100</v>
      </c>
    </row>
    <row r="521" spans="1:11" ht="15">
      <c r="A521" s="58"/>
      <c r="B521" s="59"/>
      <c r="C521" s="59"/>
      <c r="D521" s="57"/>
      <c r="E521" s="60"/>
      <c r="F521" s="26">
        <f t="shared" si="32"/>
        <v>506</v>
      </c>
      <c r="G521" s="148" t="s">
        <v>522</v>
      </c>
      <c r="H521" s="31">
        <v>0</v>
      </c>
      <c r="I521" s="31">
        <f>0+0+0+0+2500</f>
        <v>2500</v>
      </c>
      <c r="J521" s="150">
        <v>2500</v>
      </c>
      <c r="K521" s="336">
        <f t="shared" si="35"/>
        <v>100</v>
      </c>
    </row>
    <row r="522" spans="1:11" ht="15">
      <c r="A522" s="36"/>
      <c r="B522" s="91"/>
      <c r="C522" s="91"/>
      <c r="D522" s="34"/>
      <c r="E522" s="34"/>
      <c r="F522" s="26">
        <f t="shared" si="32"/>
        <v>507</v>
      </c>
      <c r="G522" s="77"/>
      <c r="H522" s="78"/>
      <c r="I522" s="78"/>
      <c r="J522" s="79"/>
      <c r="K522" s="337"/>
    </row>
    <row r="523" spans="1:11" ht="15">
      <c r="A523" s="92" t="s">
        <v>523</v>
      </c>
      <c r="B523" s="87">
        <f>SUM(B524:B526)</f>
        <v>900000</v>
      </c>
      <c r="C523" s="87">
        <f>SUM(C524:C526)</f>
        <v>900000</v>
      </c>
      <c r="D523" s="93">
        <f>SUM(D524:D526)</f>
        <v>753656</v>
      </c>
      <c r="E523" s="93">
        <f>D523/C523*100</f>
        <v>83.73955555555555</v>
      </c>
      <c r="F523" s="26">
        <f t="shared" si="32"/>
        <v>508</v>
      </c>
      <c r="G523" s="68" t="s">
        <v>524</v>
      </c>
      <c r="H523" s="69">
        <f>SUM(H524:H532)</f>
        <v>3818500</v>
      </c>
      <c r="I523" s="69">
        <f>SUM(I524:I532)</f>
        <v>537500</v>
      </c>
      <c r="J523" s="70">
        <f>SUM(J524:J532)</f>
        <v>252415.16</v>
      </c>
      <c r="K523" s="216">
        <f aca="true" t="shared" si="36" ref="K523:K531">J523/I523*100</f>
        <v>46.96096</v>
      </c>
    </row>
    <row r="524" spans="1:11" ht="15">
      <c r="A524" s="94" t="s">
        <v>525</v>
      </c>
      <c r="B524" s="23">
        <v>280000</v>
      </c>
      <c r="C524" s="23">
        <v>280000</v>
      </c>
      <c r="D524" s="25">
        <v>213437</v>
      </c>
      <c r="E524" s="25">
        <f>D524/C524*100</f>
        <v>76.2275</v>
      </c>
      <c r="F524" s="26">
        <f t="shared" si="32"/>
        <v>509</v>
      </c>
      <c r="G524" s="77" t="s">
        <v>526</v>
      </c>
      <c r="H524" s="31">
        <v>30000</v>
      </c>
      <c r="I524" s="31">
        <v>30000</v>
      </c>
      <c r="J524" s="150">
        <v>0</v>
      </c>
      <c r="K524" s="336">
        <f t="shared" si="36"/>
        <v>0</v>
      </c>
    </row>
    <row r="525" spans="1:11" ht="15">
      <c r="A525" s="94" t="s">
        <v>527</v>
      </c>
      <c r="B525" s="23">
        <v>560000</v>
      </c>
      <c r="C525" s="23">
        <v>560000</v>
      </c>
      <c r="D525" s="25">
        <v>540219</v>
      </c>
      <c r="E525" s="25">
        <f>D525/C525*100</f>
        <v>96.46767857142858</v>
      </c>
      <c r="F525" s="26">
        <f t="shared" si="32"/>
        <v>510</v>
      </c>
      <c r="G525" s="77" t="s">
        <v>528</v>
      </c>
      <c r="H525" s="31">
        <v>5000</v>
      </c>
      <c r="I525" s="31">
        <v>5000</v>
      </c>
      <c r="J525" s="73">
        <v>1445</v>
      </c>
      <c r="K525" s="336">
        <f t="shared" si="36"/>
        <v>28.9</v>
      </c>
    </row>
    <row r="526" spans="1:11" ht="15">
      <c r="A526" s="94" t="s">
        <v>529</v>
      </c>
      <c r="B526" s="23">
        <v>60000</v>
      </c>
      <c r="C526" s="23">
        <v>60000</v>
      </c>
      <c r="D526" s="25">
        <v>0</v>
      </c>
      <c r="E526" s="25">
        <f>D526/C526*100</f>
        <v>0</v>
      </c>
      <c r="F526" s="26">
        <f t="shared" si="32"/>
        <v>511</v>
      </c>
      <c r="G526" s="77" t="s">
        <v>530</v>
      </c>
      <c r="H526" s="31">
        <v>5000</v>
      </c>
      <c r="I526" s="31">
        <v>6900</v>
      </c>
      <c r="J526" s="73">
        <v>6845</v>
      </c>
      <c r="K526" s="336">
        <f t="shared" si="36"/>
        <v>99.20289855072464</v>
      </c>
    </row>
    <row r="527" spans="1:11" ht="15">
      <c r="A527" s="58"/>
      <c r="B527" s="59"/>
      <c r="C527" s="59"/>
      <c r="D527" s="60"/>
      <c r="E527" s="60"/>
      <c r="F527" s="26">
        <f t="shared" si="32"/>
        <v>512</v>
      </c>
      <c r="G527" s="77" t="s">
        <v>531</v>
      </c>
      <c r="H527" s="31">
        <v>100000</v>
      </c>
      <c r="I527" s="31">
        <v>98100</v>
      </c>
      <c r="J527" s="150">
        <v>51431.32</v>
      </c>
      <c r="K527" s="336">
        <f t="shared" si="36"/>
        <v>52.42744138634047</v>
      </c>
    </row>
    <row r="528" spans="1:11" ht="15">
      <c r="A528" s="36"/>
      <c r="B528" s="91"/>
      <c r="C528" s="91"/>
      <c r="D528" s="34"/>
      <c r="E528" s="34"/>
      <c r="F528" s="26">
        <f t="shared" si="32"/>
        <v>513</v>
      </c>
      <c r="G528" s="77" t="s">
        <v>532</v>
      </c>
      <c r="H528" s="31">
        <v>10000</v>
      </c>
      <c r="I528" s="31">
        <v>10000</v>
      </c>
      <c r="J528" s="150">
        <v>2053.5</v>
      </c>
      <c r="K528" s="336">
        <f t="shared" si="36"/>
        <v>20.535</v>
      </c>
    </row>
    <row r="529" spans="1:11" ht="15">
      <c r="A529" s="36"/>
      <c r="B529" s="91"/>
      <c r="C529" s="91"/>
      <c r="D529" s="34"/>
      <c r="E529" s="34"/>
      <c r="F529" s="26">
        <f t="shared" si="32"/>
        <v>514</v>
      </c>
      <c r="G529" s="77" t="s">
        <v>533</v>
      </c>
      <c r="H529" s="31">
        <v>50000</v>
      </c>
      <c r="I529" s="31">
        <v>50000</v>
      </c>
      <c r="J529" s="150">
        <v>17610.34</v>
      </c>
      <c r="K529" s="336">
        <f t="shared" si="36"/>
        <v>35.22068</v>
      </c>
    </row>
    <row r="530" spans="1:11" ht="15">
      <c r="A530" s="36"/>
      <c r="B530" s="91"/>
      <c r="C530" s="91"/>
      <c r="D530" s="34"/>
      <c r="E530" s="34"/>
      <c r="F530" s="26">
        <f t="shared" si="32"/>
        <v>515</v>
      </c>
      <c r="G530" s="77" t="s">
        <v>534</v>
      </c>
      <c r="H530" s="31">
        <v>0</v>
      </c>
      <c r="I530" s="31">
        <f>0+200000</f>
        <v>200000</v>
      </c>
      <c r="J530" s="150">
        <v>35574</v>
      </c>
      <c r="K530" s="336">
        <f t="shared" si="36"/>
        <v>17.787</v>
      </c>
    </row>
    <row r="531" spans="1:11" ht="15">
      <c r="A531" s="36"/>
      <c r="B531" s="91"/>
      <c r="C531" s="91"/>
      <c r="D531" s="34"/>
      <c r="E531" s="34"/>
      <c r="F531" s="26">
        <f t="shared" si="32"/>
        <v>516</v>
      </c>
      <c r="G531" s="149" t="s">
        <v>535</v>
      </c>
      <c r="H531" s="38">
        <v>1357500</v>
      </c>
      <c r="I531" s="38">
        <f>1357500+0+0+0+0+0+0-310000+0+0+0-193800-96000-757700</f>
        <v>0</v>
      </c>
      <c r="J531" s="221">
        <v>0</v>
      </c>
      <c r="K531" s="351" t="e">
        <f t="shared" si="36"/>
        <v>#DIV/0!</v>
      </c>
    </row>
    <row r="532" spans="1:11" ht="15">
      <c r="A532" s="36"/>
      <c r="B532" s="91"/>
      <c r="C532" s="91"/>
      <c r="D532" s="34"/>
      <c r="E532" s="34"/>
      <c r="F532" s="26">
        <f aca="true" t="shared" si="37" ref="F532:F595">F531+1</f>
        <v>517</v>
      </c>
      <c r="G532" s="149" t="s">
        <v>536</v>
      </c>
      <c r="H532" s="38">
        <v>2261000</v>
      </c>
      <c r="I532" s="38">
        <f>2261000+0+0+0+0+0+0+310000-2433500</f>
        <v>137500</v>
      </c>
      <c r="J532" s="221">
        <v>137456</v>
      </c>
      <c r="K532" s="351">
        <f>J532/I532*100</f>
        <v>99.968</v>
      </c>
    </row>
    <row r="533" spans="1:11" ht="15">
      <c r="A533" s="36"/>
      <c r="B533" s="91"/>
      <c r="C533" s="91"/>
      <c r="D533" s="34"/>
      <c r="E533" s="34"/>
      <c r="F533" s="26">
        <f t="shared" si="37"/>
        <v>518</v>
      </c>
      <c r="G533" s="77"/>
      <c r="H533" s="89"/>
      <c r="I533" s="89"/>
      <c r="J533" s="158"/>
      <c r="K533" s="337"/>
    </row>
    <row r="534" spans="1:11" ht="15">
      <c r="A534" s="36"/>
      <c r="B534" s="91"/>
      <c r="C534" s="91"/>
      <c r="D534" s="34"/>
      <c r="E534" s="34"/>
      <c r="F534" s="26">
        <f t="shared" si="37"/>
        <v>519</v>
      </c>
      <c r="G534" s="191" t="s">
        <v>537</v>
      </c>
      <c r="H534" s="69">
        <f>H535</f>
        <v>5000</v>
      </c>
      <c r="I534" s="69">
        <f>I535</f>
        <v>5000</v>
      </c>
      <c r="J534" s="70">
        <f>J535</f>
        <v>5000</v>
      </c>
      <c r="K534" s="216">
        <f>J534/I534*100</f>
        <v>100</v>
      </c>
    </row>
    <row r="535" spans="1:11" ht="15">
      <c r="A535" s="36"/>
      <c r="B535" s="91"/>
      <c r="C535" s="91"/>
      <c r="D535" s="34"/>
      <c r="E535" s="34"/>
      <c r="F535" s="26">
        <f t="shared" si="37"/>
        <v>520</v>
      </c>
      <c r="G535" s="77" t="s">
        <v>538</v>
      </c>
      <c r="H535" s="31">
        <v>5000</v>
      </c>
      <c r="I535" s="31">
        <v>5000</v>
      </c>
      <c r="J535" s="150">
        <v>5000</v>
      </c>
      <c r="K535" s="336">
        <f>J535/I535*100</f>
        <v>100</v>
      </c>
    </row>
    <row r="536" spans="1:11" ht="15">
      <c r="A536" s="36"/>
      <c r="B536" s="91"/>
      <c r="C536" s="91"/>
      <c r="D536" s="34"/>
      <c r="E536" s="34"/>
      <c r="F536" s="26">
        <f t="shared" si="37"/>
        <v>521</v>
      </c>
      <c r="G536" s="77"/>
      <c r="H536" s="89"/>
      <c r="I536" s="89"/>
      <c r="J536" s="158"/>
      <c r="K536" s="337"/>
    </row>
    <row r="537" spans="1:11" ht="15">
      <c r="A537" s="36"/>
      <c r="B537" s="91"/>
      <c r="C537" s="91"/>
      <c r="D537" s="34"/>
      <c r="E537" s="34"/>
      <c r="F537" s="26">
        <f t="shared" si="37"/>
        <v>522</v>
      </c>
      <c r="G537" s="68" t="s">
        <v>539</v>
      </c>
      <c r="H537" s="69">
        <f>SUM(H538:H539)</f>
        <v>1000</v>
      </c>
      <c r="I537" s="69">
        <f>SUM(I538:I539)</f>
        <v>6000</v>
      </c>
      <c r="J537" s="70">
        <f>SUM(J538:J539)</f>
        <v>0</v>
      </c>
      <c r="K537" s="216">
        <f>J537/I537*100</f>
        <v>0</v>
      </c>
    </row>
    <row r="538" spans="1:11" ht="15">
      <c r="A538" s="36"/>
      <c r="B538" s="91"/>
      <c r="C538" s="91"/>
      <c r="D538" s="34"/>
      <c r="E538" s="34"/>
      <c r="F538" s="26">
        <f t="shared" si="37"/>
        <v>523</v>
      </c>
      <c r="G538" s="77" t="s">
        <v>540</v>
      </c>
      <c r="H538" s="152">
        <v>1000</v>
      </c>
      <c r="I538" s="152">
        <v>1000</v>
      </c>
      <c r="J538" s="150">
        <v>0</v>
      </c>
      <c r="K538" s="336">
        <f>J538/I538*100</f>
        <v>0</v>
      </c>
    </row>
    <row r="539" spans="1:11" ht="15">
      <c r="A539" s="36"/>
      <c r="B539" s="91"/>
      <c r="C539" s="91"/>
      <c r="D539" s="34"/>
      <c r="E539" s="34"/>
      <c r="F539" s="26">
        <f t="shared" si="37"/>
        <v>524</v>
      </c>
      <c r="G539" s="77" t="s">
        <v>541</v>
      </c>
      <c r="H539" s="152">
        <v>0</v>
      </c>
      <c r="I539" s="152">
        <f>0+5000</f>
        <v>5000</v>
      </c>
      <c r="J539" s="150">
        <v>0</v>
      </c>
      <c r="K539" s="336">
        <f>J539/I539*100</f>
        <v>0</v>
      </c>
    </row>
    <row r="540" spans="1:11" ht="15">
      <c r="A540" s="36"/>
      <c r="B540" s="91"/>
      <c r="C540" s="91"/>
      <c r="D540" s="91"/>
      <c r="E540" s="34"/>
      <c r="F540" s="26">
        <f t="shared" si="37"/>
        <v>525</v>
      </c>
      <c r="G540" s="77"/>
      <c r="H540" s="89"/>
      <c r="I540" s="89"/>
      <c r="J540" s="158"/>
      <c r="K540" s="337"/>
    </row>
    <row r="541" spans="1:11" ht="15">
      <c r="A541" s="92" t="s">
        <v>542</v>
      </c>
      <c r="B541" s="87">
        <f>SUM(B542:B547)</f>
        <v>15619100</v>
      </c>
      <c r="C541" s="87">
        <f>SUM(C542:C547)</f>
        <v>16184400</v>
      </c>
      <c r="D541" s="93">
        <f>SUM(D542:D547)</f>
        <v>15735847.8</v>
      </c>
      <c r="E541" s="93">
        <f aca="true" t="shared" si="38" ref="E541:E547">D541/C541*100</f>
        <v>97.2284903981612</v>
      </c>
      <c r="F541" s="26">
        <f t="shared" si="37"/>
        <v>526</v>
      </c>
      <c r="G541" s="191" t="s">
        <v>543</v>
      </c>
      <c r="H541" s="69">
        <f>SUM(H542:H562)</f>
        <v>6607200</v>
      </c>
      <c r="I541" s="69">
        <f>SUM(I542:I562)</f>
        <v>4814000</v>
      </c>
      <c r="J541" s="70">
        <f>SUM(J542:J562)</f>
        <v>4122399.42</v>
      </c>
      <c r="K541" s="216">
        <f aca="true" t="shared" si="39" ref="K541:K562">J541/I541*100</f>
        <v>85.633556709597</v>
      </c>
    </row>
    <row r="542" spans="1:11" ht="15">
      <c r="A542" s="94" t="s">
        <v>544</v>
      </c>
      <c r="B542" s="23">
        <v>1956000</v>
      </c>
      <c r="C542" s="23">
        <v>1728700</v>
      </c>
      <c r="D542" s="25">
        <v>1439534</v>
      </c>
      <c r="E542" s="25">
        <f t="shared" si="38"/>
        <v>83.27263261410309</v>
      </c>
      <c r="F542" s="26">
        <f t="shared" si="37"/>
        <v>527</v>
      </c>
      <c r="G542" s="77" t="s">
        <v>545</v>
      </c>
      <c r="H542" s="31">
        <v>275000</v>
      </c>
      <c r="I542" s="31">
        <v>275000</v>
      </c>
      <c r="J542" s="150">
        <v>274920</v>
      </c>
      <c r="K542" s="336">
        <f t="shared" si="39"/>
        <v>99.97090909090909</v>
      </c>
    </row>
    <row r="543" spans="1:11" ht="15">
      <c r="A543" s="94" t="s">
        <v>546</v>
      </c>
      <c r="B543" s="23">
        <v>112700</v>
      </c>
      <c r="C543" s="23">
        <v>120000</v>
      </c>
      <c r="D543" s="25">
        <v>119228</v>
      </c>
      <c r="E543" s="25">
        <f t="shared" si="38"/>
        <v>99.35666666666667</v>
      </c>
      <c r="F543" s="26">
        <f t="shared" si="37"/>
        <v>528</v>
      </c>
      <c r="G543" s="77" t="s">
        <v>547</v>
      </c>
      <c r="H543" s="31">
        <v>68700</v>
      </c>
      <c r="I543" s="31">
        <v>68800</v>
      </c>
      <c r="J543" s="150">
        <v>68777</v>
      </c>
      <c r="K543" s="336">
        <f t="shared" si="39"/>
        <v>99.96656976744185</v>
      </c>
    </row>
    <row r="544" spans="1:11" ht="15">
      <c r="A544" s="94" t="s">
        <v>548</v>
      </c>
      <c r="B544" s="23">
        <f>3924000-100000</f>
        <v>3824000</v>
      </c>
      <c r="C544" s="23">
        <v>4044000</v>
      </c>
      <c r="D544" s="25">
        <v>4043934</v>
      </c>
      <c r="E544" s="25">
        <f t="shared" si="38"/>
        <v>99.99836795252226</v>
      </c>
      <c r="F544" s="26">
        <f t="shared" si="37"/>
        <v>529</v>
      </c>
      <c r="G544" s="77" t="s">
        <v>549</v>
      </c>
      <c r="H544" s="31">
        <v>24800</v>
      </c>
      <c r="I544" s="31">
        <v>24800</v>
      </c>
      <c r="J544" s="150">
        <v>24788</v>
      </c>
      <c r="K544" s="336">
        <f t="shared" si="39"/>
        <v>99.95161290322581</v>
      </c>
    </row>
    <row r="545" spans="1:11" ht="15">
      <c r="A545" s="222" t="s">
        <v>550</v>
      </c>
      <c r="B545" s="223">
        <v>0</v>
      </c>
      <c r="C545" s="223">
        <f>0+0+15300</f>
        <v>15300</v>
      </c>
      <c r="D545" s="224">
        <v>3750</v>
      </c>
      <c r="E545" s="25">
        <f t="shared" si="38"/>
        <v>24.509803921568626</v>
      </c>
      <c r="F545" s="26">
        <f t="shared" si="37"/>
        <v>530</v>
      </c>
      <c r="G545" s="77" t="s">
        <v>551</v>
      </c>
      <c r="H545" s="31">
        <v>0</v>
      </c>
      <c r="I545" s="31">
        <f>0+0+1000</f>
        <v>1000</v>
      </c>
      <c r="J545" s="150">
        <v>101</v>
      </c>
      <c r="K545" s="336">
        <f>J545/I545*100</f>
        <v>10.100000000000001</v>
      </c>
    </row>
    <row r="546" spans="1:11" ht="15">
      <c r="A546" s="94" t="s">
        <v>552</v>
      </c>
      <c r="B546" s="23">
        <v>100000</v>
      </c>
      <c r="C546" s="23">
        <v>100000</v>
      </c>
      <c r="D546" s="25">
        <v>47407.8</v>
      </c>
      <c r="E546" s="25">
        <f t="shared" si="38"/>
        <v>47.40780000000001</v>
      </c>
      <c r="F546" s="26">
        <f t="shared" si="37"/>
        <v>531</v>
      </c>
      <c r="G546" s="77" t="s">
        <v>553</v>
      </c>
      <c r="H546" s="31">
        <v>100000</v>
      </c>
      <c r="I546" s="31">
        <v>40000</v>
      </c>
      <c r="J546" s="150">
        <v>0</v>
      </c>
      <c r="K546" s="336">
        <f t="shared" si="39"/>
        <v>0</v>
      </c>
    </row>
    <row r="547" spans="1:11" ht="15">
      <c r="A547" s="156" t="s">
        <v>554</v>
      </c>
      <c r="B547" s="38">
        <v>9626400</v>
      </c>
      <c r="C547" s="38">
        <f>9626400+0+0+0+550000</f>
        <v>10176400</v>
      </c>
      <c r="D547" s="40">
        <v>10081994</v>
      </c>
      <c r="E547" s="40">
        <f t="shared" si="38"/>
        <v>99.07230454777721</v>
      </c>
      <c r="F547" s="26">
        <f t="shared" si="37"/>
        <v>532</v>
      </c>
      <c r="G547" s="128" t="s">
        <v>555</v>
      </c>
      <c r="H547" s="31">
        <v>100000</v>
      </c>
      <c r="I547" s="31">
        <f>100000+0-1000</f>
        <v>99000</v>
      </c>
      <c r="J547" s="150">
        <v>81619.48</v>
      </c>
      <c r="K547" s="336">
        <f t="shared" si="39"/>
        <v>82.44391919191919</v>
      </c>
    </row>
    <row r="548" spans="1:11" ht="15">
      <c r="A548" s="97"/>
      <c r="B548" s="138"/>
      <c r="C548" s="138"/>
      <c r="D548" s="130"/>
      <c r="E548" s="130"/>
      <c r="F548" s="26">
        <f t="shared" si="37"/>
        <v>533</v>
      </c>
      <c r="G548" s="77" t="s">
        <v>556</v>
      </c>
      <c r="H548" s="31">
        <v>900000</v>
      </c>
      <c r="I548" s="31">
        <v>900000</v>
      </c>
      <c r="J548" s="150">
        <v>748485</v>
      </c>
      <c r="K548" s="336">
        <f t="shared" si="39"/>
        <v>83.165</v>
      </c>
    </row>
    <row r="549" spans="1:11" ht="15">
      <c r="A549" s="36"/>
      <c r="B549" s="91"/>
      <c r="C549" s="91"/>
      <c r="D549" s="34"/>
      <c r="E549" s="34"/>
      <c r="F549" s="26">
        <f t="shared" si="37"/>
        <v>534</v>
      </c>
      <c r="G549" s="77" t="s">
        <v>557</v>
      </c>
      <c r="H549" s="31">
        <v>800000</v>
      </c>
      <c r="I549" s="31">
        <v>265000</v>
      </c>
      <c r="J549" s="150">
        <v>221796</v>
      </c>
      <c r="K549" s="336">
        <f t="shared" si="39"/>
        <v>83.69660377358491</v>
      </c>
    </row>
    <row r="550" spans="1:11" ht="15">
      <c r="A550" s="36"/>
      <c r="B550" s="91"/>
      <c r="C550" s="91"/>
      <c r="D550" s="34"/>
      <c r="E550" s="34"/>
      <c r="F550" s="26">
        <f t="shared" si="37"/>
        <v>535</v>
      </c>
      <c r="G550" s="77" t="s">
        <v>558</v>
      </c>
      <c r="H550" s="31">
        <v>0</v>
      </c>
      <c r="I550" s="31">
        <v>43700</v>
      </c>
      <c r="J550" s="150">
        <v>43616.75</v>
      </c>
      <c r="K550" s="336">
        <f t="shared" si="39"/>
        <v>99.80949656750572</v>
      </c>
    </row>
    <row r="551" spans="1:11" ht="15">
      <c r="A551" s="36"/>
      <c r="B551" s="91"/>
      <c r="C551" s="91"/>
      <c r="D551" s="91"/>
      <c r="E551" s="91"/>
      <c r="F551" s="26">
        <f t="shared" si="37"/>
        <v>536</v>
      </c>
      <c r="G551" s="77" t="s">
        <v>559</v>
      </c>
      <c r="H551" s="31">
        <v>0</v>
      </c>
      <c r="I551" s="31">
        <v>59200</v>
      </c>
      <c r="J551" s="150">
        <v>59173.13</v>
      </c>
      <c r="K551" s="336">
        <f t="shared" si="39"/>
        <v>99.95461148648647</v>
      </c>
    </row>
    <row r="552" spans="1:11" ht="15">
      <c r="A552" s="36"/>
      <c r="B552" s="91"/>
      <c r="C552" s="91"/>
      <c r="D552" s="34"/>
      <c r="E552" s="91"/>
      <c r="F552" s="26">
        <f t="shared" si="37"/>
        <v>537</v>
      </c>
      <c r="G552" s="77" t="s">
        <v>560</v>
      </c>
      <c r="H552" s="31">
        <v>25000</v>
      </c>
      <c r="I552" s="31">
        <v>25000</v>
      </c>
      <c r="J552" s="150">
        <v>16419</v>
      </c>
      <c r="K552" s="336">
        <f t="shared" si="39"/>
        <v>65.676</v>
      </c>
    </row>
    <row r="553" spans="1:11" ht="15">
      <c r="A553" s="225"/>
      <c r="B553" s="91"/>
      <c r="C553" s="91"/>
      <c r="D553" s="34"/>
      <c r="E553" s="34"/>
      <c r="F553" s="26">
        <f t="shared" si="37"/>
        <v>538</v>
      </c>
      <c r="G553" s="77" t="s">
        <v>561</v>
      </c>
      <c r="H553" s="31">
        <v>15000</v>
      </c>
      <c r="I553" s="31">
        <v>15000</v>
      </c>
      <c r="J553" s="150">
        <v>8938.04</v>
      </c>
      <c r="K553" s="336">
        <f t="shared" si="39"/>
        <v>59.586933333333334</v>
      </c>
    </row>
    <row r="554" spans="1:11" ht="15">
      <c r="A554" s="36"/>
      <c r="B554" s="91"/>
      <c r="C554" s="91"/>
      <c r="D554" s="34"/>
      <c r="E554" s="34"/>
      <c r="F554" s="26">
        <f t="shared" si="37"/>
        <v>539</v>
      </c>
      <c r="G554" s="77" t="s">
        <v>562</v>
      </c>
      <c r="H554" s="31">
        <v>40000</v>
      </c>
      <c r="I554" s="31">
        <v>32000</v>
      </c>
      <c r="J554" s="150">
        <v>0</v>
      </c>
      <c r="K554" s="336">
        <f t="shared" si="39"/>
        <v>0</v>
      </c>
    </row>
    <row r="555" spans="1:11" ht="15">
      <c r="A555" s="36"/>
      <c r="B555" s="91"/>
      <c r="C555" s="91"/>
      <c r="D555" s="34"/>
      <c r="E555" s="34"/>
      <c r="F555" s="26">
        <f t="shared" si="37"/>
        <v>540</v>
      </c>
      <c r="G555" s="77" t="s">
        <v>563</v>
      </c>
      <c r="H555" s="31">
        <v>10000</v>
      </c>
      <c r="I555" s="31">
        <v>10000</v>
      </c>
      <c r="J555" s="150">
        <v>7260</v>
      </c>
      <c r="K555" s="336">
        <f t="shared" si="39"/>
        <v>72.6</v>
      </c>
    </row>
    <row r="556" spans="1:11" ht="15">
      <c r="A556" s="36"/>
      <c r="B556" s="91"/>
      <c r="C556" s="91"/>
      <c r="D556" s="34"/>
      <c r="E556" s="34"/>
      <c r="F556" s="26">
        <f t="shared" si="37"/>
        <v>541</v>
      </c>
      <c r="G556" s="77" t="s">
        <v>564</v>
      </c>
      <c r="H556" s="31">
        <v>100000</v>
      </c>
      <c r="I556" s="31">
        <v>100000</v>
      </c>
      <c r="J556" s="150">
        <v>67485.25</v>
      </c>
      <c r="K556" s="336">
        <f t="shared" si="39"/>
        <v>67.48525</v>
      </c>
    </row>
    <row r="557" spans="1:11" ht="15">
      <c r="A557" s="36"/>
      <c r="B557" s="91"/>
      <c r="C557" s="91"/>
      <c r="D557" s="34"/>
      <c r="E557" s="34"/>
      <c r="F557" s="26">
        <f t="shared" si="37"/>
        <v>542</v>
      </c>
      <c r="G557" s="149" t="s">
        <v>565</v>
      </c>
      <c r="H557" s="137">
        <v>120000</v>
      </c>
      <c r="I557" s="137">
        <v>120000</v>
      </c>
      <c r="J557" s="157">
        <v>107300</v>
      </c>
      <c r="K557" s="343">
        <f t="shared" si="39"/>
        <v>89.41666666666667</v>
      </c>
    </row>
    <row r="558" spans="1:11" ht="15">
      <c r="A558" s="36"/>
      <c r="B558" s="91"/>
      <c r="C558" s="91"/>
      <c r="D558" s="34"/>
      <c r="E558" s="34"/>
      <c r="F558" s="26">
        <f t="shared" si="37"/>
        <v>543</v>
      </c>
      <c r="G558" s="77" t="s">
        <v>566</v>
      </c>
      <c r="H558" s="31">
        <v>300000</v>
      </c>
      <c r="I558" s="31">
        <f>300000+0+0+0+300000</f>
        <v>600000</v>
      </c>
      <c r="J558" s="150">
        <v>395245.57</v>
      </c>
      <c r="K558" s="336">
        <f t="shared" si="39"/>
        <v>65.87426166666667</v>
      </c>
    </row>
    <row r="559" spans="1:11" ht="15">
      <c r="A559" s="36"/>
      <c r="B559" s="91"/>
      <c r="C559" s="91"/>
      <c r="D559" s="34"/>
      <c r="E559" s="34"/>
      <c r="F559" s="26">
        <f t="shared" si="37"/>
        <v>544</v>
      </c>
      <c r="G559" s="149" t="s">
        <v>567</v>
      </c>
      <c r="H559" s="137">
        <f>1777700+2516000-1000000</f>
        <v>3293700</v>
      </c>
      <c r="I559" s="137">
        <f>3293700+0+0+0+120000-1733200</f>
        <v>1680500</v>
      </c>
      <c r="J559" s="157">
        <v>1612039.2</v>
      </c>
      <c r="K559" s="343">
        <f t="shared" si="39"/>
        <v>95.92616483189526</v>
      </c>
    </row>
    <row r="560" spans="1:11" ht="15">
      <c r="A560" s="36"/>
      <c r="B560" s="91"/>
      <c r="C560" s="91"/>
      <c r="D560" s="34"/>
      <c r="E560" s="34"/>
      <c r="F560" s="26">
        <f t="shared" si="37"/>
        <v>545</v>
      </c>
      <c r="G560" s="149" t="s">
        <v>568</v>
      </c>
      <c r="H560" s="137">
        <v>25000</v>
      </c>
      <c r="I560" s="137">
        <v>25000</v>
      </c>
      <c r="J560" s="157">
        <v>23000</v>
      </c>
      <c r="K560" s="343">
        <f t="shared" si="39"/>
        <v>92</v>
      </c>
    </row>
    <row r="561" spans="1:11" ht="15">
      <c r="A561" s="36"/>
      <c r="B561" s="91"/>
      <c r="C561" s="91"/>
      <c r="D561" s="34"/>
      <c r="E561" s="34"/>
      <c r="F561" s="26">
        <f t="shared" si="37"/>
        <v>546</v>
      </c>
      <c r="G561" s="226" t="s">
        <v>569</v>
      </c>
      <c r="H561" s="137">
        <v>390000</v>
      </c>
      <c r="I561" s="137">
        <f>390000+0+0+0+20000</f>
        <v>410000</v>
      </c>
      <c r="J561" s="157">
        <v>361436</v>
      </c>
      <c r="K561" s="343">
        <f t="shared" si="39"/>
        <v>88.15512195121951</v>
      </c>
    </row>
    <row r="562" spans="1:11" ht="15">
      <c r="A562" s="36"/>
      <c r="B562" s="91"/>
      <c r="C562" s="91"/>
      <c r="D562" s="34"/>
      <c r="E562" s="34"/>
      <c r="F562" s="26">
        <f t="shared" si="37"/>
        <v>547</v>
      </c>
      <c r="G562" s="148" t="s">
        <v>570</v>
      </c>
      <c r="H562" s="31">
        <v>20000</v>
      </c>
      <c r="I562" s="31">
        <v>20000</v>
      </c>
      <c r="J562" s="150">
        <v>0</v>
      </c>
      <c r="K562" s="336">
        <f t="shared" si="39"/>
        <v>0</v>
      </c>
    </row>
    <row r="563" spans="1:11" ht="15">
      <c r="A563" s="36"/>
      <c r="B563" s="91"/>
      <c r="C563" s="91"/>
      <c r="D563" s="34"/>
      <c r="E563" s="34"/>
      <c r="F563" s="26">
        <f t="shared" si="37"/>
        <v>548</v>
      </c>
      <c r="G563" s="77"/>
      <c r="H563" s="78"/>
      <c r="I563" s="78"/>
      <c r="J563" s="79"/>
      <c r="K563" s="337"/>
    </row>
    <row r="564" spans="1:11" ht="15">
      <c r="A564" s="92" t="s">
        <v>571</v>
      </c>
      <c r="B564" s="87">
        <f>SUM(B565:B569)</f>
        <v>3716300</v>
      </c>
      <c r="C564" s="87">
        <f>SUM(C565:C569)</f>
        <v>3717500</v>
      </c>
      <c r="D564" s="93">
        <f>SUM(D565:D569)</f>
        <v>3416585.13</v>
      </c>
      <c r="E564" s="93">
        <f>D564/C564*100</f>
        <v>91.9054507061197</v>
      </c>
      <c r="F564" s="26">
        <f t="shared" si="37"/>
        <v>549</v>
      </c>
      <c r="G564" s="68" t="s">
        <v>572</v>
      </c>
      <c r="H564" s="69">
        <f>SUM(H565:H601)</f>
        <v>13602000</v>
      </c>
      <c r="I564" s="69">
        <f>SUM(I565:I601)</f>
        <v>21490200</v>
      </c>
      <c r="J564" s="70">
        <f>SUM(J565:J601)</f>
        <v>18245831.450000003</v>
      </c>
      <c r="K564" s="216">
        <f aca="true" t="shared" si="40" ref="K564:K601">J564/I564*100</f>
        <v>84.90303231240289</v>
      </c>
    </row>
    <row r="565" spans="1:11" ht="15">
      <c r="A565" s="94" t="s">
        <v>573</v>
      </c>
      <c r="B565" s="23">
        <v>270000</v>
      </c>
      <c r="C565" s="23">
        <v>347100</v>
      </c>
      <c r="D565" s="25">
        <v>347050</v>
      </c>
      <c r="E565" s="25">
        <f>D565/C565*100</f>
        <v>99.98559492941516</v>
      </c>
      <c r="F565" s="26">
        <f t="shared" si="37"/>
        <v>550</v>
      </c>
      <c r="G565" s="77" t="s">
        <v>574</v>
      </c>
      <c r="H565" s="31">
        <v>10000</v>
      </c>
      <c r="I565" s="31">
        <v>10000</v>
      </c>
      <c r="J565" s="150">
        <v>0</v>
      </c>
      <c r="K565" s="336">
        <f t="shared" si="40"/>
        <v>0</v>
      </c>
    </row>
    <row r="566" spans="1:11" ht="15">
      <c r="A566" s="94" t="s">
        <v>575</v>
      </c>
      <c r="B566" s="23">
        <v>3314300</v>
      </c>
      <c r="C566" s="23">
        <v>3238400</v>
      </c>
      <c r="D566" s="25">
        <v>3026385.13</v>
      </c>
      <c r="E566" s="25">
        <f>D566/C566*100</f>
        <v>93.45309813488142</v>
      </c>
      <c r="F566" s="26">
        <f t="shared" si="37"/>
        <v>551</v>
      </c>
      <c r="G566" s="77" t="s">
        <v>576</v>
      </c>
      <c r="H566" s="31">
        <v>0</v>
      </c>
      <c r="I566" s="31">
        <f>0+24400</f>
        <v>24400</v>
      </c>
      <c r="J566" s="150">
        <v>24308.9</v>
      </c>
      <c r="K566" s="336">
        <f t="shared" si="40"/>
        <v>99.6266393442623</v>
      </c>
    </row>
    <row r="567" spans="1:11" ht="15">
      <c r="A567" s="94" t="s">
        <v>577</v>
      </c>
      <c r="B567" s="23">
        <v>32000</v>
      </c>
      <c r="C567" s="23">
        <f>32000+0+0+0+0+0+10000+0+0+0+2100</f>
        <v>44100</v>
      </c>
      <c r="D567" s="25">
        <v>39148</v>
      </c>
      <c r="E567" s="25">
        <f>D567/C567*100</f>
        <v>88.77097505668934</v>
      </c>
      <c r="F567" s="26">
        <f t="shared" si="37"/>
        <v>552</v>
      </c>
      <c r="G567" s="77" t="s">
        <v>578</v>
      </c>
      <c r="H567" s="31">
        <v>0</v>
      </c>
      <c r="I567" s="31">
        <f>0+0+0+0+0+0+0+0+500000+0+148100+40700+328100</f>
        <v>1016900</v>
      </c>
      <c r="J567" s="150">
        <v>1016896.67</v>
      </c>
      <c r="K567" s="336">
        <f t="shared" si="40"/>
        <v>99.99967253417249</v>
      </c>
    </row>
    <row r="568" spans="1:11" ht="15">
      <c r="A568" s="94" t="s">
        <v>579</v>
      </c>
      <c r="B568" s="23">
        <v>100000</v>
      </c>
      <c r="C568" s="23">
        <f>100000+0+0+0+0+0-10000+0+0+0-2100</f>
        <v>87900</v>
      </c>
      <c r="D568" s="25">
        <v>4002</v>
      </c>
      <c r="E568" s="25">
        <f>D568/C568*100</f>
        <v>4.552901023890785</v>
      </c>
      <c r="F568" s="26">
        <f t="shared" si="37"/>
        <v>553</v>
      </c>
      <c r="G568" s="149" t="s">
        <v>580</v>
      </c>
      <c r="H568" s="137">
        <v>0</v>
      </c>
      <c r="I568" s="137">
        <f>0+433600</f>
        <v>433600</v>
      </c>
      <c r="J568" s="157">
        <v>433546.4</v>
      </c>
      <c r="K568" s="343">
        <f t="shared" si="40"/>
        <v>99.98763837638377</v>
      </c>
    </row>
    <row r="569" spans="1:11" ht="15">
      <c r="A569" s="97"/>
      <c r="B569" s="138"/>
      <c r="C569" s="138"/>
      <c r="D569" s="130"/>
      <c r="E569" s="130"/>
      <c r="F569" s="26">
        <f t="shared" si="37"/>
        <v>554</v>
      </c>
      <c r="G569" s="77" t="s">
        <v>581</v>
      </c>
      <c r="H569" s="31">
        <v>60000</v>
      </c>
      <c r="I569" s="31">
        <v>60000</v>
      </c>
      <c r="J569" s="150">
        <v>37665.77</v>
      </c>
      <c r="K569" s="336">
        <f t="shared" si="40"/>
        <v>62.776283333333325</v>
      </c>
    </row>
    <row r="570" spans="1:11" ht="15">
      <c r="A570" s="36"/>
      <c r="B570" s="91"/>
      <c r="C570" s="91"/>
      <c r="D570" s="34"/>
      <c r="E570" s="34"/>
      <c r="F570" s="26">
        <f t="shared" si="37"/>
        <v>555</v>
      </c>
      <c r="G570" s="77" t="s">
        <v>582</v>
      </c>
      <c r="H570" s="31">
        <v>0</v>
      </c>
      <c r="I570" s="31">
        <f>0+0+0+0+0+0+0+0+0+0+15900+64000+3500+75400</f>
        <v>158800</v>
      </c>
      <c r="J570" s="150">
        <v>158768.2</v>
      </c>
      <c r="K570" s="336">
        <f t="shared" si="40"/>
        <v>99.97997481108312</v>
      </c>
    </row>
    <row r="571" spans="1:11" ht="15">
      <c r="A571" s="36"/>
      <c r="B571" s="91"/>
      <c r="C571" s="91"/>
      <c r="D571" s="34"/>
      <c r="E571" s="34"/>
      <c r="F571" s="26">
        <f t="shared" si="37"/>
        <v>556</v>
      </c>
      <c r="G571" s="149" t="s">
        <v>583</v>
      </c>
      <c r="H571" s="137">
        <v>0</v>
      </c>
      <c r="I571" s="137">
        <f>0+35000</f>
        <v>35000</v>
      </c>
      <c r="J571" s="157">
        <v>35014.98</v>
      </c>
      <c r="K571" s="343">
        <f t="shared" si="40"/>
        <v>100.04280000000001</v>
      </c>
    </row>
    <row r="572" spans="1:11" ht="15">
      <c r="A572" s="36"/>
      <c r="B572" s="91"/>
      <c r="C572" s="91"/>
      <c r="D572" s="34"/>
      <c r="E572" s="34"/>
      <c r="F572" s="26">
        <f t="shared" si="37"/>
        <v>557</v>
      </c>
      <c r="G572" s="77" t="s">
        <v>584</v>
      </c>
      <c r="H572" s="31">
        <v>10000</v>
      </c>
      <c r="I572" s="31">
        <f>10000+10000</f>
        <v>20000</v>
      </c>
      <c r="J572" s="150">
        <v>19902</v>
      </c>
      <c r="K572" s="336">
        <f t="shared" si="40"/>
        <v>99.51</v>
      </c>
    </row>
    <row r="573" spans="1:11" ht="15">
      <c r="A573" s="36"/>
      <c r="B573" s="91"/>
      <c r="C573" s="91"/>
      <c r="D573" s="34"/>
      <c r="E573" s="34"/>
      <c r="F573" s="26">
        <f t="shared" si="37"/>
        <v>558</v>
      </c>
      <c r="G573" s="77" t="s">
        <v>585</v>
      </c>
      <c r="H573" s="31">
        <v>500000</v>
      </c>
      <c r="I573" s="31">
        <v>215000</v>
      </c>
      <c r="J573" s="150">
        <v>200003</v>
      </c>
      <c r="K573" s="336">
        <f t="shared" si="40"/>
        <v>93.02465116279069</v>
      </c>
    </row>
    <row r="574" spans="1:11" ht="15">
      <c r="A574" s="36"/>
      <c r="B574" s="91"/>
      <c r="C574" s="91"/>
      <c r="D574" s="91"/>
      <c r="E574" s="91"/>
      <c r="F574" s="26">
        <f t="shared" si="37"/>
        <v>559</v>
      </c>
      <c r="G574" s="77" t="s">
        <v>586</v>
      </c>
      <c r="H574" s="31">
        <v>50000</v>
      </c>
      <c r="I574" s="31">
        <v>105200</v>
      </c>
      <c r="J574" s="150">
        <v>105183</v>
      </c>
      <c r="K574" s="336">
        <f t="shared" si="40"/>
        <v>99.98384030418251</v>
      </c>
    </row>
    <row r="575" spans="1:11" ht="15">
      <c r="A575" s="36"/>
      <c r="B575" s="91"/>
      <c r="C575" s="91"/>
      <c r="D575" s="34"/>
      <c r="E575" s="34"/>
      <c r="F575" s="26">
        <f t="shared" si="37"/>
        <v>560</v>
      </c>
      <c r="G575" s="77" t="s">
        <v>587</v>
      </c>
      <c r="H575" s="31">
        <v>350000</v>
      </c>
      <c r="I575" s="31">
        <v>350000</v>
      </c>
      <c r="J575" s="150">
        <v>121901.18</v>
      </c>
      <c r="K575" s="336">
        <f t="shared" si="40"/>
        <v>34.82890857142857</v>
      </c>
    </row>
    <row r="576" spans="1:11" ht="15">
      <c r="A576" s="217"/>
      <c r="B576" s="131"/>
      <c r="C576" s="131"/>
      <c r="D576" s="227"/>
      <c r="E576" s="67"/>
      <c r="F576" s="26">
        <f t="shared" si="37"/>
        <v>561</v>
      </c>
      <c r="G576" s="77" t="s">
        <v>588</v>
      </c>
      <c r="H576" s="31">
        <v>2000</v>
      </c>
      <c r="I576" s="31">
        <v>2000</v>
      </c>
      <c r="J576" s="150">
        <v>0</v>
      </c>
      <c r="K576" s="336">
        <f t="shared" si="40"/>
        <v>0</v>
      </c>
    </row>
    <row r="577" spans="1:11" ht="15">
      <c r="A577" s="217"/>
      <c r="B577" s="131"/>
      <c r="C577" s="131"/>
      <c r="D577" s="67"/>
      <c r="E577" s="67"/>
      <c r="F577" s="26">
        <f t="shared" si="37"/>
        <v>562</v>
      </c>
      <c r="G577" s="77" t="s">
        <v>589</v>
      </c>
      <c r="H577" s="31">
        <v>120000</v>
      </c>
      <c r="I577" s="31">
        <v>109200</v>
      </c>
      <c r="J577" s="150">
        <v>28471.95</v>
      </c>
      <c r="K577" s="336">
        <f t="shared" si="40"/>
        <v>26.073214285714286</v>
      </c>
    </row>
    <row r="578" spans="1:11" ht="15">
      <c r="A578" s="217"/>
      <c r="B578" s="131"/>
      <c r="C578" s="131"/>
      <c r="D578" s="67"/>
      <c r="E578" s="67"/>
      <c r="F578" s="26">
        <f t="shared" si="37"/>
        <v>563</v>
      </c>
      <c r="G578" s="77" t="s">
        <v>590</v>
      </c>
      <c r="H578" s="31">
        <v>20000</v>
      </c>
      <c r="I578" s="31">
        <f>20000-10000</f>
        <v>10000</v>
      </c>
      <c r="J578" s="150">
        <v>0</v>
      </c>
      <c r="K578" s="336">
        <f t="shared" si="40"/>
        <v>0</v>
      </c>
    </row>
    <row r="579" spans="1:11" ht="15">
      <c r="A579" s="36"/>
      <c r="B579" s="91"/>
      <c r="C579" s="91"/>
      <c r="D579" s="34"/>
      <c r="E579" s="34"/>
      <c r="F579" s="26">
        <f t="shared" si="37"/>
        <v>564</v>
      </c>
      <c r="G579" s="77" t="s">
        <v>591</v>
      </c>
      <c r="H579" s="31">
        <v>400000</v>
      </c>
      <c r="I579" s="31">
        <f>351000+0+0+0+200000+0+0+0+0+0-12200</f>
        <v>538800</v>
      </c>
      <c r="J579" s="150">
        <v>483040</v>
      </c>
      <c r="K579" s="336">
        <f t="shared" si="40"/>
        <v>89.65107646622124</v>
      </c>
    </row>
    <row r="580" spans="1:11" ht="15">
      <c r="A580" s="36"/>
      <c r="B580" s="91"/>
      <c r="C580" s="91"/>
      <c r="D580" s="34"/>
      <c r="E580" s="34"/>
      <c r="F580" s="26">
        <f t="shared" si="37"/>
        <v>565</v>
      </c>
      <c r="G580" s="77" t="s">
        <v>592</v>
      </c>
      <c r="H580" s="31">
        <v>0</v>
      </c>
      <c r="I580" s="31">
        <f>0+0+0+0+0+0+0+0+0+0+32200</f>
        <v>32200</v>
      </c>
      <c r="J580" s="150">
        <v>32178.74</v>
      </c>
      <c r="K580" s="336">
        <f t="shared" si="40"/>
        <v>99.93397515527951</v>
      </c>
    </row>
    <row r="581" spans="1:11" ht="15">
      <c r="A581" s="36"/>
      <c r="B581" s="91"/>
      <c r="C581" s="91"/>
      <c r="D581" s="34"/>
      <c r="E581" s="34"/>
      <c r="F581" s="26">
        <f t="shared" si="37"/>
        <v>566</v>
      </c>
      <c r="G581" s="77" t="s">
        <v>593</v>
      </c>
      <c r="H581" s="31">
        <v>160000</v>
      </c>
      <c r="I581" s="31">
        <f>160000+0+60000</f>
        <v>220000</v>
      </c>
      <c r="J581" s="150">
        <v>218056.25</v>
      </c>
      <c r="K581" s="336">
        <f t="shared" si="40"/>
        <v>99.11647727272728</v>
      </c>
    </row>
    <row r="582" spans="1:11" ht="15">
      <c r="A582" s="36"/>
      <c r="B582" s="91"/>
      <c r="C582" s="91"/>
      <c r="D582" s="34"/>
      <c r="E582" s="34"/>
      <c r="F582" s="26">
        <f t="shared" si="37"/>
        <v>567</v>
      </c>
      <c r="G582" s="77" t="s">
        <v>594</v>
      </c>
      <c r="H582" s="31">
        <v>0</v>
      </c>
      <c r="I582" s="31">
        <f>0+22400</f>
        <v>22400</v>
      </c>
      <c r="J582" s="150">
        <v>22324.5</v>
      </c>
      <c r="K582" s="336">
        <f t="shared" si="40"/>
        <v>99.66294642857143</v>
      </c>
    </row>
    <row r="583" spans="1:11" ht="15">
      <c r="A583" s="36"/>
      <c r="B583" s="91"/>
      <c r="C583" s="91"/>
      <c r="D583" s="34"/>
      <c r="E583" s="34"/>
      <c r="F583" s="26">
        <f t="shared" si="37"/>
        <v>568</v>
      </c>
      <c r="G583" s="77" t="s">
        <v>595</v>
      </c>
      <c r="H583" s="31">
        <v>100000</v>
      </c>
      <c r="I583" s="31">
        <v>100000</v>
      </c>
      <c r="J583" s="150">
        <v>60500</v>
      </c>
      <c r="K583" s="336">
        <f t="shared" si="40"/>
        <v>60.5</v>
      </c>
    </row>
    <row r="584" spans="1:11" ht="15">
      <c r="A584" s="36"/>
      <c r="B584" s="91"/>
      <c r="C584" s="91"/>
      <c r="D584" s="34"/>
      <c r="E584" s="34"/>
      <c r="F584" s="26">
        <f t="shared" si="37"/>
        <v>569</v>
      </c>
      <c r="G584" s="77" t="s">
        <v>596</v>
      </c>
      <c r="H584" s="31">
        <v>2800000</v>
      </c>
      <c r="I584" s="31">
        <v>1946400</v>
      </c>
      <c r="J584" s="150">
        <v>1682427.56</v>
      </c>
      <c r="K584" s="336">
        <f t="shared" si="40"/>
        <v>86.43791409782162</v>
      </c>
    </row>
    <row r="585" spans="1:11" ht="15">
      <c r="A585" s="36"/>
      <c r="B585" s="91"/>
      <c r="C585" s="91"/>
      <c r="D585" s="34"/>
      <c r="E585" s="34"/>
      <c r="F585" s="26">
        <f t="shared" si="37"/>
        <v>570</v>
      </c>
      <c r="G585" s="77" t="s">
        <v>597</v>
      </c>
      <c r="H585" s="31">
        <v>20000</v>
      </c>
      <c r="I585" s="31">
        <f>20000+0+0+0+0+0+0+0+0+0-20000</f>
        <v>0</v>
      </c>
      <c r="J585" s="150">
        <v>0</v>
      </c>
      <c r="K585" s="336" t="e">
        <f t="shared" si="40"/>
        <v>#DIV/0!</v>
      </c>
    </row>
    <row r="586" spans="1:11" ht="15">
      <c r="A586" s="36"/>
      <c r="B586" s="91"/>
      <c r="C586" s="91"/>
      <c r="D586" s="34"/>
      <c r="E586" s="34"/>
      <c r="F586" s="26">
        <f t="shared" si="37"/>
        <v>571</v>
      </c>
      <c r="G586" s="77" t="s">
        <v>598</v>
      </c>
      <c r="H586" s="31">
        <v>0</v>
      </c>
      <c r="I586" s="31">
        <v>49000</v>
      </c>
      <c r="J586" s="150">
        <v>48942.08</v>
      </c>
      <c r="K586" s="336">
        <f t="shared" si="40"/>
        <v>99.88179591836736</v>
      </c>
    </row>
    <row r="587" spans="1:11" ht="15">
      <c r="A587" s="36"/>
      <c r="B587" s="91"/>
      <c r="C587" s="91"/>
      <c r="D587" s="34"/>
      <c r="E587" s="34"/>
      <c r="F587" s="26">
        <f t="shared" si="37"/>
        <v>572</v>
      </c>
      <c r="G587" s="77" t="s">
        <v>599</v>
      </c>
      <c r="H587" s="31">
        <v>500000</v>
      </c>
      <c r="I587" s="31">
        <v>38900</v>
      </c>
      <c r="J587" s="150">
        <v>38853.1</v>
      </c>
      <c r="K587" s="336">
        <f t="shared" si="40"/>
        <v>99.87943444730077</v>
      </c>
    </row>
    <row r="588" spans="1:11" ht="15">
      <c r="A588" s="36"/>
      <c r="B588" s="91"/>
      <c r="C588" s="91"/>
      <c r="D588" s="34"/>
      <c r="E588" s="34"/>
      <c r="F588" s="26">
        <f t="shared" si="37"/>
        <v>573</v>
      </c>
      <c r="G588" s="77" t="s">
        <v>600</v>
      </c>
      <c r="H588" s="31">
        <v>500000</v>
      </c>
      <c r="I588" s="31">
        <f>500000+0-430000</f>
        <v>70000</v>
      </c>
      <c r="J588" s="150">
        <v>24732.4</v>
      </c>
      <c r="K588" s="336">
        <f t="shared" si="40"/>
        <v>35.332</v>
      </c>
    </row>
    <row r="589" spans="1:11" ht="15">
      <c r="A589" s="36"/>
      <c r="B589" s="91"/>
      <c r="C589" s="91"/>
      <c r="D589" s="34"/>
      <c r="E589" s="34"/>
      <c r="F589" s="26">
        <f t="shared" si="37"/>
        <v>574</v>
      </c>
      <c r="G589" s="77" t="s">
        <v>601</v>
      </c>
      <c r="H589" s="31">
        <v>2900000</v>
      </c>
      <c r="I589" s="31">
        <f>2900000+0+2000000+1042000+181200</f>
        <v>6123200</v>
      </c>
      <c r="J589" s="150">
        <v>5634757.72</v>
      </c>
      <c r="K589" s="336">
        <f>J589/I589*100</f>
        <v>92.02308792788084</v>
      </c>
    </row>
    <row r="590" spans="1:11" ht="15">
      <c r="A590" s="36"/>
      <c r="B590" s="91"/>
      <c r="C590" s="91"/>
      <c r="D590" s="34"/>
      <c r="E590" s="34"/>
      <c r="F590" s="26">
        <f t="shared" si="37"/>
        <v>575</v>
      </c>
      <c r="G590" s="77" t="s">
        <v>602</v>
      </c>
      <c r="H590" s="31">
        <v>4900000</v>
      </c>
      <c r="I590" s="31">
        <f>4900000+0+0+0+0+0+0+0+0+85000+0+0+0+0+436200-171000</f>
        <v>5250200</v>
      </c>
      <c r="J590" s="150">
        <v>3500663.06</v>
      </c>
      <c r="K590" s="336">
        <f>J590/I590*100</f>
        <v>66.67675631404518</v>
      </c>
    </row>
    <row r="591" spans="1:11" ht="15">
      <c r="A591" s="36"/>
      <c r="B591" s="91"/>
      <c r="C591" s="91"/>
      <c r="D591" s="34"/>
      <c r="E591" s="34"/>
      <c r="F591" s="26">
        <f t="shared" si="37"/>
        <v>576</v>
      </c>
      <c r="G591" s="77" t="s">
        <v>603</v>
      </c>
      <c r="H591" s="31">
        <v>100000</v>
      </c>
      <c r="I591" s="31">
        <f>100000-100000</f>
        <v>0</v>
      </c>
      <c r="J591" s="150">
        <v>0</v>
      </c>
      <c r="K591" s="336" t="e">
        <f>J591/I591*100</f>
        <v>#DIV/0!</v>
      </c>
    </row>
    <row r="592" spans="1:11" ht="15">
      <c r="A592" s="36"/>
      <c r="B592" s="91"/>
      <c r="C592" s="91"/>
      <c r="D592" s="34"/>
      <c r="E592" s="34"/>
      <c r="F592" s="26">
        <f t="shared" si="37"/>
        <v>577</v>
      </c>
      <c r="G592" s="77" t="s">
        <v>604</v>
      </c>
      <c r="H592" s="31">
        <v>100000</v>
      </c>
      <c r="I592" s="31">
        <f>100000+0+0+0+400000-79800</f>
        <v>420200</v>
      </c>
      <c r="J592" s="150">
        <v>420144</v>
      </c>
      <c r="K592" s="336">
        <f>J592/I592*100</f>
        <v>99.98667301285103</v>
      </c>
    </row>
    <row r="593" spans="1:11" ht="15">
      <c r="A593" s="36"/>
      <c r="B593" s="91"/>
      <c r="C593" s="91"/>
      <c r="D593" s="34"/>
      <c r="E593" s="34"/>
      <c r="F593" s="26">
        <f t="shared" si="37"/>
        <v>578</v>
      </c>
      <c r="G593" s="77" t="s">
        <v>605</v>
      </c>
      <c r="H593" s="31">
        <v>0</v>
      </c>
      <c r="I593" s="31">
        <f>0+0+0+0+1000000+0+0+0+256800+0-319600+2300000-44200-1352200-403500</f>
        <v>1437300</v>
      </c>
      <c r="J593" s="150">
        <v>1209511.74</v>
      </c>
      <c r="K593" s="336">
        <f>J593/I593*100</f>
        <v>84.1516551868086</v>
      </c>
    </row>
    <row r="594" spans="1:11" ht="15">
      <c r="A594" s="36"/>
      <c r="B594" s="91"/>
      <c r="C594" s="91"/>
      <c r="D594" s="34"/>
      <c r="E594" s="34"/>
      <c r="F594" s="26">
        <f t="shared" si="37"/>
        <v>579</v>
      </c>
      <c r="G594" s="77" t="s">
        <v>606</v>
      </c>
      <c r="H594" s="31">
        <v>0</v>
      </c>
      <c r="I594" s="31">
        <v>116900</v>
      </c>
      <c r="J594" s="150">
        <v>116822.3</v>
      </c>
      <c r="K594" s="336">
        <f>J594/I594*100</f>
        <v>99.93353293413175</v>
      </c>
    </row>
    <row r="595" spans="1:11" ht="15">
      <c r="A595" s="36"/>
      <c r="B595" s="91"/>
      <c r="C595" s="91"/>
      <c r="D595" s="34"/>
      <c r="E595" s="34"/>
      <c r="F595" s="26">
        <f t="shared" si="37"/>
        <v>580</v>
      </c>
      <c r="G595" s="77" t="s">
        <v>607</v>
      </c>
      <c r="H595" s="31">
        <v>0</v>
      </c>
      <c r="I595" s="31">
        <v>993000</v>
      </c>
      <c r="J595" s="150">
        <v>992989.54</v>
      </c>
      <c r="K595" s="336">
        <f t="shared" si="40"/>
        <v>99.9989466263847</v>
      </c>
    </row>
    <row r="596" spans="1:11" ht="15">
      <c r="A596" s="36"/>
      <c r="B596" s="91"/>
      <c r="C596" s="91"/>
      <c r="D596" s="34"/>
      <c r="E596" s="34"/>
      <c r="F596" s="26">
        <f aca="true" t="shared" si="41" ref="F596:F659">F595+1</f>
        <v>581</v>
      </c>
      <c r="G596" s="77" t="s">
        <v>608</v>
      </c>
      <c r="H596" s="31">
        <v>0</v>
      </c>
      <c r="I596" s="31">
        <v>58500</v>
      </c>
      <c r="J596" s="150">
        <v>58411.16</v>
      </c>
      <c r="K596" s="336">
        <f t="shared" si="40"/>
        <v>99.84813675213677</v>
      </c>
    </row>
    <row r="597" spans="1:11" ht="15">
      <c r="A597" s="36"/>
      <c r="B597" s="91"/>
      <c r="C597" s="91"/>
      <c r="D597" s="34"/>
      <c r="E597" s="34"/>
      <c r="F597" s="26">
        <f t="shared" si="41"/>
        <v>582</v>
      </c>
      <c r="G597" s="77" t="s">
        <v>609</v>
      </c>
      <c r="H597" s="31">
        <v>0</v>
      </c>
      <c r="I597" s="31">
        <f>0+0+0+0+0+0+0+0+0+0+155600</f>
        <v>155600</v>
      </c>
      <c r="J597" s="150">
        <v>155545.5</v>
      </c>
      <c r="K597" s="336">
        <f t="shared" si="40"/>
        <v>99.96497429305913</v>
      </c>
    </row>
    <row r="598" spans="1:11" ht="15">
      <c r="A598" s="36"/>
      <c r="B598" s="91"/>
      <c r="C598" s="91"/>
      <c r="D598" s="34"/>
      <c r="E598" s="34"/>
      <c r="F598" s="26">
        <f t="shared" si="41"/>
        <v>583</v>
      </c>
      <c r="G598" s="77" t="s">
        <v>610</v>
      </c>
      <c r="H598" s="31">
        <v>0</v>
      </c>
      <c r="I598" s="31">
        <f>0+0+0+0+0+0+149700-46800</f>
        <v>102900</v>
      </c>
      <c r="J598" s="150">
        <v>99740.6</v>
      </c>
      <c r="K598" s="336">
        <f t="shared" si="40"/>
        <v>96.92964042759962</v>
      </c>
    </row>
    <row r="599" spans="1:11" ht="15">
      <c r="A599" s="36"/>
      <c r="B599" s="91"/>
      <c r="C599" s="91"/>
      <c r="D599" s="34"/>
      <c r="E599" s="34"/>
      <c r="F599" s="26">
        <f t="shared" si="41"/>
        <v>584</v>
      </c>
      <c r="G599" s="149" t="s">
        <v>611</v>
      </c>
      <c r="H599" s="137">
        <v>0</v>
      </c>
      <c r="I599" s="137">
        <f>0+381000</f>
        <v>381000</v>
      </c>
      <c r="J599" s="157">
        <v>380969</v>
      </c>
      <c r="K599" s="343">
        <f>J599/I599*100</f>
        <v>99.99186351706037</v>
      </c>
    </row>
    <row r="600" spans="1:11" ht="15">
      <c r="A600" s="36"/>
      <c r="B600" s="91"/>
      <c r="C600" s="91"/>
      <c r="D600" s="34"/>
      <c r="E600" s="34"/>
      <c r="F600" s="26">
        <f t="shared" si="41"/>
        <v>585</v>
      </c>
      <c r="G600" s="149" t="s">
        <v>612</v>
      </c>
      <c r="H600" s="137">
        <v>0</v>
      </c>
      <c r="I600" s="137">
        <f>0+1352200-688700</f>
        <v>663500</v>
      </c>
      <c r="J600" s="157">
        <v>663467.2</v>
      </c>
      <c r="K600" s="343">
        <f t="shared" si="40"/>
        <v>99.99505651846269</v>
      </c>
    </row>
    <row r="601" spans="1:11" ht="15">
      <c r="A601" s="36"/>
      <c r="B601" s="91"/>
      <c r="C601" s="91"/>
      <c r="D601" s="34"/>
      <c r="E601" s="34"/>
      <c r="F601" s="26">
        <f t="shared" si="41"/>
        <v>586</v>
      </c>
      <c r="G601" s="149" t="s">
        <v>613</v>
      </c>
      <c r="H601" s="137">
        <v>0</v>
      </c>
      <c r="I601" s="137">
        <f>0+220100</f>
        <v>220100</v>
      </c>
      <c r="J601" s="157">
        <v>220092.95</v>
      </c>
      <c r="K601" s="343">
        <f t="shared" si="40"/>
        <v>99.99679691049523</v>
      </c>
    </row>
    <row r="602" spans="1:11" ht="15">
      <c r="A602" s="36"/>
      <c r="B602" s="91"/>
      <c r="C602" s="91"/>
      <c r="D602" s="34"/>
      <c r="E602" s="34"/>
      <c r="F602" s="26">
        <f t="shared" si="41"/>
        <v>587</v>
      </c>
      <c r="G602" s="77"/>
      <c r="H602" s="152"/>
      <c r="I602" s="152"/>
      <c r="J602" s="150"/>
      <c r="K602" s="336"/>
    </row>
    <row r="603" spans="1:11" ht="15">
      <c r="A603" s="228"/>
      <c r="B603" s="66"/>
      <c r="C603" s="66"/>
      <c r="D603" s="327"/>
      <c r="E603" s="327"/>
      <c r="F603" s="26">
        <f t="shared" si="41"/>
        <v>588</v>
      </c>
      <c r="G603" s="229" t="s">
        <v>614</v>
      </c>
      <c r="H603" s="69">
        <f>SUM(H604:H605)</f>
        <v>1052400</v>
      </c>
      <c r="I603" s="69">
        <f>SUM(I604:I605)</f>
        <v>1167400</v>
      </c>
      <c r="J603" s="70">
        <f>SUM(J604:J605)</f>
        <v>450000</v>
      </c>
      <c r="K603" s="216">
        <f>J603/I603*100</f>
        <v>38.547198903546345</v>
      </c>
    </row>
    <row r="604" spans="1:11" ht="15">
      <c r="A604" s="228"/>
      <c r="B604" s="66"/>
      <c r="C604" s="66"/>
      <c r="D604" s="327"/>
      <c r="E604" s="327"/>
      <c r="F604" s="26">
        <f t="shared" si="41"/>
        <v>589</v>
      </c>
      <c r="G604" s="230" t="s">
        <v>615</v>
      </c>
      <c r="H604" s="137">
        <v>500000</v>
      </c>
      <c r="I604" s="137">
        <v>500000</v>
      </c>
      <c r="J604" s="157">
        <v>150000</v>
      </c>
      <c r="K604" s="343">
        <f>J604/I604*100</f>
        <v>30</v>
      </c>
    </row>
    <row r="605" spans="1:11" ht="15">
      <c r="A605" s="228"/>
      <c r="B605" s="66"/>
      <c r="C605" s="66"/>
      <c r="D605" s="327"/>
      <c r="E605" s="327"/>
      <c r="F605" s="26">
        <f t="shared" si="41"/>
        <v>590</v>
      </c>
      <c r="G605" s="230" t="s">
        <v>616</v>
      </c>
      <c r="H605" s="137">
        <v>552400</v>
      </c>
      <c r="I605" s="137">
        <v>667400</v>
      </c>
      <c r="J605" s="157">
        <v>300000</v>
      </c>
      <c r="K605" s="343">
        <f>J605/I605*100</f>
        <v>44.95055439017081</v>
      </c>
    </row>
    <row r="606" spans="1:11" ht="15">
      <c r="A606" s="36"/>
      <c r="B606" s="91"/>
      <c r="C606" s="91"/>
      <c r="D606" s="91"/>
      <c r="E606" s="34"/>
      <c r="F606" s="26">
        <f t="shared" si="41"/>
        <v>591</v>
      </c>
      <c r="G606" s="77"/>
      <c r="H606" s="89"/>
      <c r="I606" s="89"/>
      <c r="J606" s="158"/>
      <c r="K606" s="337"/>
    </row>
    <row r="607" spans="1:11" ht="15">
      <c r="A607" s="171" t="s">
        <v>617</v>
      </c>
      <c r="B607" s="69">
        <f>SUM(B608:B610)</f>
        <v>270000</v>
      </c>
      <c r="C607" s="69">
        <f>SUM(C608:C610)</f>
        <v>270000</v>
      </c>
      <c r="D607" s="93">
        <f>SUM(D608:D610)</f>
        <v>288259.25</v>
      </c>
      <c r="E607" s="70">
        <f>D607/C607*100</f>
        <v>106.76268518518519</v>
      </c>
      <c r="F607" s="26">
        <f t="shared" si="41"/>
        <v>592</v>
      </c>
      <c r="G607" s="220" t="s">
        <v>618</v>
      </c>
      <c r="H607" s="69">
        <f>SUM(H608:H628)</f>
        <v>2892300</v>
      </c>
      <c r="I607" s="69">
        <f>SUM(I608:I628)</f>
        <v>2681600</v>
      </c>
      <c r="J607" s="70">
        <f>SUM(J608:J628)</f>
        <v>2122605.9400000004</v>
      </c>
      <c r="K607" s="216">
        <f aca="true" t="shared" si="42" ref="K607:K628">J607/I607*100</f>
        <v>79.1544577863962</v>
      </c>
    </row>
    <row r="608" spans="1:11" ht="15">
      <c r="A608" s="94" t="s">
        <v>619</v>
      </c>
      <c r="B608" s="23">
        <v>190000</v>
      </c>
      <c r="C608" s="23">
        <v>202500</v>
      </c>
      <c r="D608" s="25">
        <v>220770</v>
      </c>
      <c r="E608" s="25">
        <f>D608/C608*100</f>
        <v>109.02222222222223</v>
      </c>
      <c r="F608" s="26">
        <f t="shared" si="41"/>
        <v>593</v>
      </c>
      <c r="G608" s="77" t="s">
        <v>620</v>
      </c>
      <c r="H608" s="31">
        <v>275000</v>
      </c>
      <c r="I608" s="31">
        <v>275100</v>
      </c>
      <c r="J608" s="150">
        <v>275059</v>
      </c>
      <c r="K608" s="336">
        <f t="shared" si="42"/>
        <v>99.98509632860778</v>
      </c>
    </row>
    <row r="609" spans="1:11" ht="15">
      <c r="A609" s="94" t="s">
        <v>621</v>
      </c>
      <c r="B609" s="23">
        <v>80000</v>
      </c>
      <c r="C609" s="23">
        <v>67500</v>
      </c>
      <c r="D609" s="25">
        <v>67489.25</v>
      </c>
      <c r="E609" s="25">
        <f>D609/C609*100</f>
        <v>99.98407407407407</v>
      </c>
      <c r="F609" s="26">
        <f t="shared" si="41"/>
        <v>594</v>
      </c>
      <c r="G609" s="77" t="s">
        <v>622</v>
      </c>
      <c r="H609" s="31">
        <v>68700</v>
      </c>
      <c r="I609" s="31">
        <v>68800</v>
      </c>
      <c r="J609" s="150">
        <v>68713</v>
      </c>
      <c r="K609" s="336">
        <f t="shared" si="42"/>
        <v>99.87354651162791</v>
      </c>
    </row>
    <row r="610" spans="1:11" ht="15">
      <c r="A610" s="97"/>
      <c r="B610" s="138"/>
      <c r="C610" s="138"/>
      <c r="D610" s="130"/>
      <c r="E610" s="130"/>
      <c r="F610" s="26">
        <f t="shared" si="41"/>
        <v>595</v>
      </c>
      <c r="G610" s="77" t="s">
        <v>623</v>
      </c>
      <c r="H610" s="31">
        <v>24800</v>
      </c>
      <c r="I610" s="31">
        <v>24800</v>
      </c>
      <c r="J610" s="150">
        <v>24746</v>
      </c>
      <c r="K610" s="336">
        <f t="shared" si="42"/>
        <v>99.78225806451613</v>
      </c>
    </row>
    <row r="611" spans="1:11" ht="15">
      <c r="A611" s="36"/>
      <c r="B611" s="91"/>
      <c r="C611" s="91"/>
      <c r="D611" s="34"/>
      <c r="E611" s="34"/>
      <c r="F611" s="26">
        <f t="shared" si="41"/>
        <v>596</v>
      </c>
      <c r="G611" s="77" t="s">
        <v>624</v>
      </c>
      <c r="H611" s="31">
        <v>100000</v>
      </c>
      <c r="I611" s="31">
        <f>100000-100000</f>
        <v>0</v>
      </c>
      <c r="J611" s="150">
        <v>0</v>
      </c>
      <c r="K611" s="336" t="e">
        <f t="shared" si="42"/>
        <v>#DIV/0!</v>
      </c>
    </row>
    <row r="612" spans="1:11" ht="15">
      <c r="A612" s="36"/>
      <c r="B612" s="91"/>
      <c r="C612" s="91"/>
      <c r="D612" s="91"/>
      <c r="E612" s="91"/>
      <c r="F612" s="26">
        <f t="shared" si="41"/>
        <v>597</v>
      </c>
      <c r="G612" s="77" t="s">
        <v>625</v>
      </c>
      <c r="H612" s="31">
        <v>120000</v>
      </c>
      <c r="I612" s="31">
        <v>119800</v>
      </c>
      <c r="J612" s="150">
        <v>77528.8</v>
      </c>
      <c r="K612" s="336">
        <f t="shared" si="42"/>
        <v>64.7151919866444</v>
      </c>
    </row>
    <row r="613" spans="1:11" ht="15">
      <c r="A613" s="36"/>
      <c r="B613" s="91"/>
      <c r="C613" s="91"/>
      <c r="D613" s="91"/>
      <c r="E613" s="91"/>
      <c r="F613" s="26">
        <f t="shared" si="41"/>
        <v>598</v>
      </c>
      <c r="G613" s="149" t="s">
        <v>626</v>
      </c>
      <c r="H613" s="137">
        <v>0</v>
      </c>
      <c r="I613" s="137">
        <v>129700</v>
      </c>
      <c r="J613" s="157">
        <v>129658</v>
      </c>
      <c r="K613" s="343">
        <f>J613/I613*100</f>
        <v>99.96761757902853</v>
      </c>
    </row>
    <row r="614" spans="1:11" ht="15">
      <c r="A614" s="36"/>
      <c r="B614" s="91"/>
      <c r="C614" s="91"/>
      <c r="D614" s="91"/>
      <c r="E614" s="91"/>
      <c r="F614" s="26">
        <f t="shared" si="41"/>
        <v>599</v>
      </c>
      <c r="G614" s="77" t="s">
        <v>627</v>
      </c>
      <c r="H614" s="31">
        <v>1200000</v>
      </c>
      <c r="I614" s="31">
        <v>1200000</v>
      </c>
      <c r="J614" s="150">
        <v>819193</v>
      </c>
      <c r="K614" s="336">
        <f t="shared" si="42"/>
        <v>68.26608333333334</v>
      </c>
    </row>
    <row r="615" spans="1:11" ht="15">
      <c r="A615" s="36"/>
      <c r="B615" s="91"/>
      <c r="C615" s="91"/>
      <c r="D615" s="91"/>
      <c r="E615" s="91"/>
      <c r="F615" s="26">
        <f t="shared" si="41"/>
        <v>600</v>
      </c>
      <c r="G615" s="77" t="s">
        <v>628</v>
      </c>
      <c r="H615" s="31">
        <v>40000</v>
      </c>
      <c r="I615" s="31">
        <v>40000</v>
      </c>
      <c r="J615" s="150">
        <v>33010</v>
      </c>
      <c r="K615" s="336">
        <f t="shared" si="42"/>
        <v>82.525</v>
      </c>
    </row>
    <row r="616" spans="1:11" ht="15">
      <c r="A616" s="36"/>
      <c r="B616" s="91"/>
      <c r="C616" s="91"/>
      <c r="D616" s="34"/>
      <c r="E616" s="34"/>
      <c r="F616" s="26">
        <f t="shared" si="41"/>
        <v>601</v>
      </c>
      <c r="G616" s="77" t="s">
        <v>629</v>
      </c>
      <c r="H616" s="31">
        <v>3000</v>
      </c>
      <c r="I616" s="31">
        <v>3000</v>
      </c>
      <c r="J616" s="150">
        <v>1111.35</v>
      </c>
      <c r="K616" s="336">
        <f t="shared" si="42"/>
        <v>37.044999999999995</v>
      </c>
    </row>
    <row r="617" spans="1:11" ht="15">
      <c r="A617" s="36"/>
      <c r="B617" s="91"/>
      <c r="C617" s="91"/>
      <c r="D617" s="34"/>
      <c r="E617" s="34"/>
      <c r="F617" s="26">
        <f t="shared" si="41"/>
        <v>602</v>
      </c>
      <c r="G617" s="94" t="s">
        <v>630</v>
      </c>
      <c r="H617" s="31">
        <v>5000</v>
      </c>
      <c r="I617" s="31">
        <v>5000</v>
      </c>
      <c r="J617" s="150">
        <v>1452</v>
      </c>
      <c r="K617" s="336">
        <f t="shared" si="42"/>
        <v>29.04</v>
      </c>
    </row>
    <row r="618" spans="1:11" ht="15">
      <c r="A618" s="36"/>
      <c r="B618" s="91"/>
      <c r="C618" s="91"/>
      <c r="D618" s="34"/>
      <c r="E618" s="34"/>
      <c r="F618" s="26">
        <f t="shared" si="41"/>
        <v>603</v>
      </c>
      <c r="G618" s="77" t="s">
        <v>631</v>
      </c>
      <c r="H618" s="31">
        <v>40000</v>
      </c>
      <c r="I618" s="31">
        <v>40000</v>
      </c>
      <c r="J618" s="150">
        <v>11134</v>
      </c>
      <c r="K618" s="336">
        <f t="shared" si="42"/>
        <v>27.834999999999997</v>
      </c>
    </row>
    <row r="619" spans="1:11" ht="15">
      <c r="A619" s="36"/>
      <c r="B619" s="91"/>
      <c r="C619" s="91"/>
      <c r="D619" s="34"/>
      <c r="E619" s="34"/>
      <c r="F619" s="26">
        <f t="shared" si="41"/>
        <v>604</v>
      </c>
      <c r="G619" s="77" t="s">
        <v>632</v>
      </c>
      <c r="H619" s="31">
        <v>100000</v>
      </c>
      <c r="I619" s="31">
        <v>89500</v>
      </c>
      <c r="J619" s="166">
        <v>32670.5</v>
      </c>
      <c r="K619" s="336">
        <f t="shared" si="42"/>
        <v>36.50335195530726</v>
      </c>
    </row>
    <row r="620" spans="1:11" ht="15">
      <c r="A620" s="36"/>
      <c r="B620" s="91"/>
      <c r="C620" s="91"/>
      <c r="D620" s="34"/>
      <c r="E620" s="34"/>
      <c r="F620" s="26">
        <f t="shared" si="41"/>
        <v>605</v>
      </c>
      <c r="G620" s="77" t="s">
        <v>633</v>
      </c>
      <c r="H620" s="31">
        <v>20000</v>
      </c>
      <c r="I620" s="31">
        <v>20000</v>
      </c>
      <c r="J620" s="166">
        <v>0</v>
      </c>
      <c r="K620" s="336">
        <f>J620/I620*100</f>
        <v>0</v>
      </c>
    </row>
    <row r="621" spans="1:11" ht="15">
      <c r="A621" s="36"/>
      <c r="B621" s="91"/>
      <c r="C621" s="91"/>
      <c r="D621" s="34"/>
      <c r="E621" s="34"/>
      <c r="F621" s="26">
        <f t="shared" si="41"/>
        <v>606</v>
      </c>
      <c r="G621" s="231" t="s">
        <v>634</v>
      </c>
      <c r="H621" s="31">
        <v>100000</v>
      </c>
      <c r="I621" s="31">
        <f>100000+0+0+0-100000</f>
        <v>0</v>
      </c>
      <c r="J621" s="166">
        <v>0</v>
      </c>
      <c r="K621" s="336" t="e">
        <f t="shared" si="42"/>
        <v>#DIV/0!</v>
      </c>
    </row>
    <row r="622" spans="1:11" ht="15">
      <c r="A622" s="36"/>
      <c r="B622" s="91"/>
      <c r="C622" s="91"/>
      <c r="D622" s="34"/>
      <c r="E622" s="34"/>
      <c r="F622" s="26">
        <f t="shared" si="41"/>
        <v>607</v>
      </c>
      <c r="G622" s="77" t="s">
        <v>635</v>
      </c>
      <c r="H622" s="31">
        <v>0</v>
      </c>
      <c r="I622" s="31">
        <v>6300</v>
      </c>
      <c r="J622" s="150">
        <v>6250</v>
      </c>
      <c r="K622" s="336">
        <f>J622/I622*100</f>
        <v>99.20634920634922</v>
      </c>
    </row>
    <row r="623" spans="1:11" ht="15">
      <c r="A623" s="36"/>
      <c r="B623" s="91"/>
      <c r="C623" s="91"/>
      <c r="D623" s="34"/>
      <c r="E623" s="34"/>
      <c r="F623" s="26">
        <f t="shared" si="41"/>
        <v>608</v>
      </c>
      <c r="G623" s="77" t="s">
        <v>636</v>
      </c>
      <c r="H623" s="31">
        <v>130000</v>
      </c>
      <c r="I623" s="31">
        <v>134200</v>
      </c>
      <c r="J623" s="150">
        <v>134128.5</v>
      </c>
      <c r="K623" s="336">
        <f t="shared" si="42"/>
        <v>99.9467213114754</v>
      </c>
    </row>
    <row r="624" spans="1:11" ht="15">
      <c r="A624" s="36"/>
      <c r="B624" s="91"/>
      <c r="C624" s="91"/>
      <c r="D624" s="34"/>
      <c r="E624" s="34"/>
      <c r="F624" s="26">
        <f t="shared" si="41"/>
        <v>609</v>
      </c>
      <c r="G624" s="77" t="s">
        <v>637</v>
      </c>
      <c r="H624" s="31">
        <v>400000</v>
      </c>
      <c r="I624" s="31">
        <f>400000+0+0+0+0+0+0+0+0+-350000-40000</f>
        <v>10000</v>
      </c>
      <c r="J624" s="150">
        <v>4911</v>
      </c>
      <c r="K624" s="336">
        <f>J624/I624*100</f>
        <v>49.11</v>
      </c>
    </row>
    <row r="625" spans="1:11" ht="15">
      <c r="A625" s="36"/>
      <c r="B625" s="91"/>
      <c r="C625" s="91"/>
      <c r="D625" s="34"/>
      <c r="E625" s="34"/>
      <c r="F625" s="26">
        <f t="shared" si="41"/>
        <v>610</v>
      </c>
      <c r="G625" s="77" t="s">
        <v>638</v>
      </c>
      <c r="H625" s="31">
        <v>0</v>
      </c>
      <c r="I625" s="31">
        <f>0+0+0+0+150000-130000</f>
        <v>20000</v>
      </c>
      <c r="J625" s="150">
        <v>18150</v>
      </c>
      <c r="K625" s="336">
        <f>J625/I625*100</f>
        <v>90.75</v>
      </c>
    </row>
    <row r="626" spans="1:11" ht="15">
      <c r="A626" s="36"/>
      <c r="B626" s="91"/>
      <c r="C626" s="91"/>
      <c r="D626" s="34"/>
      <c r="E626" s="34"/>
      <c r="F626" s="26">
        <f t="shared" si="41"/>
        <v>611</v>
      </c>
      <c r="G626" s="77" t="s">
        <v>639</v>
      </c>
      <c r="H626" s="31">
        <v>0</v>
      </c>
      <c r="I626" s="31">
        <f>0+0+190000+0+140000-20700</f>
        <v>309300</v>
      </c>
      <c r="J626" s="150">
        <v>309259.29</v>
      </c>
      <c r="K626" s="336">
        <f>J626/I626*100</f>
        <v>99.9868380213385</v>
      </c>
    </row>
    <row r="627" spans="1:11" ht="15">
      <c r="A627" s="36"/>
      <c r="B627" s="91"/>
      <c r="C627" s="91"/>
      <c r="D627" s="34"/>
      <c r="E627" s="34"/>
      <c r="F627" s="26">
        <f t="shared" si="41"/>
        <v>612</v>
      </c>
      <c r="G627" s="149" t="s">
        <v>640</v>
      </c>
      <c r="H627" s="137">
        <v>265800</v>
      </c>
      <c r="I627" s="137">
        <f>136100+50000</f>
        <v>186100</v>
      </c>
      <c r="J627" s="157">
        <v>175631.5</v>
      </c>
      <c r="K627" s="343">
        <f t="shared" si="42"/>
        <v>94.37479849543257</v>
      </c>
    </row>
    <row r="628" spans="1:11" ht="15">
      <c r="A628" s="36"/>
      <c r="B628" s="91"/>
      <c r="C628" s="91"/>
      <c r="D628" s="34"/>
      <c r="E628" s="34"/>
      <c r="F628" s="26">
        <f t="shared" si="41"/>
        <v>613</v>
      </c>
      <c r="G628" s="77" t="s">
        <v>641</v>
      </c>
      <c r="H628" s="31">
        <v>0</v>
      </c>
      <c r="I628" s="31">
        <f>0+50000-50000</f>
        <v>0</v>
      </c>
      <c r="J628" s="150"/>
      <c r="K628" s="336" t="e">
        <f t="shared" si="42"/>
        <v>#DIV/0!</v>
      </c>
    </row>
    <row r="629" spans="1:11" ht="15">
      <c r="A629" s="36"/>
      <c r="B629" s="91"/>
      <c r="C629" s="91"/>
      <c r="D629" s="34"/>
      <c r="E629" s="34"/>
      <c r="F629" s="26">
        <f t="shared" si="41"/>
        <v>614</v>
      </c>
      <c r="G629" s="135"/>
      <c r="H629" s="78"/>
      <c r="I629" s="78"/>
      <c r="J629" s="79"/>
      <c r="K629" s="337"/>
    </row>
    <row r="630" spans="1:11" ht="15">
      <c r="A630" s="92" t="s">
        <v>642</v>
      </c>
      <c r="B630" s="87">
        <f>SUM(B631:B633)</f>
        <v>86000</v>
      </c>
      <c r="C630" s="87">
        <f>SUM(C631:C633)</f>
        <v>96000</v>
      </c>
      <c r="D630" s="93">
        <f>SUM(D631:D633)</f>
        <v>95956</v>
      </c>
      <c r="E630" s="93">
        <f>D630/C630*100</f>
        <v>99.95416666666667</v>
      </c>
      <c r="F630" s="26">
        <f t="shared" si="41"/>
        <v>615</v>
      </c>
      <c r="G630" s="220" t="s">
        <v>643</v>
      </c>
      <c r="H630" s="62">
        <f>SUM(H631:H636)</f>
        <v>312000</v>
      </c>
      <c r="I630" s="62">
        <f>SUM(I631:I636)</f>
        <v>112000</v>
      </c>
      <c r="J630" s="63">
        <f>SUM(J631:J636)</f>
        <v>18251.3</v>
      </c>
      <c r="K630" s="216">
        <f aca="true" t="shared" si="43" ref="K630:K636">J630/I630*100</f>
        <v>16.29580357142857</v>
      </c>
    </row>
    <row r="631" spans="1:11" ht="15">
      <c r="A631" s="94" t="s">
        <v>644</v>
      </c>
      <c r="B631" s="23">
        <v>62000</v>
      </c>
      <c r="C631" s="23">
        <v>27200</v>
      </c>
      <c r="D631" s="25">
        <v>27202</v>
      </c>
      <c r="E631" s="25">
        <f>D631/C631*100</f>
        <v>100.00735294117646</v>
      </c>
      <c r="F631" s="26">
        <f t="shared" si="41"/>
        <v>616</v>
      </c>
      <c r="G631" s="77" t="s">
        <v>645</v>
      </c>
      <c r="H631" s="31">
        <v>35000</v>
      </c>
      <c r="I631" s="31">
        <v>27000</v>
      </c>
      <c r="J631" s="150">
        <v>0</v>
      </c>
      <c r="K631" s="336">
        <f t="shared" si="43"/>
        <v>0</v>
      </c>
    </row>
    <row r="632" spans="1:11" ht="15">
      <c r="A632" s="135" t="s">
        <v>646</v>
      </c>
      <c r="B632" s="23">
        <v>14000</v>
      </c>
      <c r="C632" s="23">
        <v>56800</v>
      </c>
      <c r="D632" s="25">
        <v>56714</v>
      </c>
      <c r="E632" s="25">
        <f>D632/C632*100</f>
        <v>99.84859154929578</v>
      </c>
      <c r="F632" s="26">
        <f t="shared" si="41"/>
        <v>617</v>
      </c>
      <c r="G632" s="77" t="s">
        <v>647</v>
      </c>
      <c r="H632" s="31">
        <v>15000</v>
      </c>
      <c r="I632" s="31">
        <v>15000</v>
      </c>
      <c r="J632" s="150">
        <v>4033</v>
      </c>
      <c r="K632" s="336">
        <f t="shared" si="43"/>
        <v>26.886666666666663</v>
      </c>
    </row>
    <row r="633" spans="1:11" ht="15">
      <c r="A633" s="135" t="s">
        <v>648</v>
      </c>
      <c r="B633" s="23">
        <v>10000</v>
      </c>
      <c r="C633" s="23">
        <v>12000</v>
      </c>
      <c r="D633" s="25">
        <v>12040</v>
      </c>
      <c r="E633" s="25">
        <f>D633/C633*100</f>
        <v>100.33333333333334</v>
      </c>
      <c r="F633" s="26">
        <f t="shared" si="41"/>
        <v>618</v>
      </c>
      <c r="G633" s="77" t="s">
        <v>649</v>
      </c>
      <c r="H633" s="31">
        <v>2000</v>
      </c>
      <c r="I633" s="31">
        <v>2000</v>
      </c>
      <c r="J633" s="150">
        <v>820</v>
      </c>
      <c r="K633" s="336">
        <f t="shared" si="43"/>
        <v>41</v>
      </c>
    </row>
    <row r="634" spans="1:11" ht="15">
      <c r="A634" s="145"/>
      <c r="B634" s="138"/>
      <c r="C634" s="138"/>
      <c r="D634" s="130"/>
      <c r="E634" s="232"/>
      <c r="F634" s="26">
        <f t="shared" si="41"/>
        <v>619</v>
      </c>
      <c r="G634" s="77" t="s">
        <v>650</v>
      </c>
      <c r="H634" s="31">
        <v>10000</v>
      </c>
      <c r="I634" s="31">
        <v>10000</v>
      </c>
      <c r="J634" s="150">
        <v>0</v>
      </c>
      <c r="K634" s="336">
        <f t="shared" si="43"/>
        <v>0</v>
      </c>
    </row>
    <row r="635" spans="1:11" ht="15">
      <c r="A635" s="33"/>
      <c r="B635" s="91"/>
      <c r="C635" s="91"/>
      <c r="D635" s="34"/>
      <c r="E635" s="233"/>
      <c r="F635" s="26">
        <f t="shared" si="41"/>
        <v>620</v>
      </c>
      <c r="G635" s="77" t="s">
        <v>651</v>
      </c>
      <c r="H635" s="31">
        <v>250000</v>
      </c>
      <c r="I635" s="31">
        <f>250000-200000</f>
        <v>50000</v>
      </c>
      <c r="J635" s="150">
        <v>5481.3</v>
      </c>
      <c r="K635" s="336">
        <f t="shared" si="43"/>
        <v>10.9626</v>
      </c>
    </row>
    <row r="636" spans="1:11" ht="15">
      <c r="A636" s="33"/>
      <c r="B636" s="91"/>
      <c r="C636" s="91"/>
      <c r="D636" s="34"/>
      <c r="E636" s="233"/>
      <c r="F636" s="26">
        <f t="shared" si="41"/>
        <v>621</v>
      </c>
      <c r="G636" s="77" t="s">
        <v>1109</v>
      </c>
      <c r="H636" s="31">
        <v>0</v>
      </c>
      <c r="I636" s="31">
        <v>8000</v>
      </c>
      <c r="J636" s="150">
        <v>7917</v>
      </c>
      <c r="K636" s="336">
        <f t="shared" si="43"/>
        <v>98.96249999999999</v>
      </c>
    </row>
    <row r="637" spans="1:11" ht="15">
      <c r="A637" s="179"/>
      <c r="B637" s="234"/>
      <c r="C637" s="234"/>
      <c r="D637" s="235"/>
      <c r="E637" s="235"/>
      <c r="F637" s="26">
        <f t="shared" si="41"/>
        <v>622</v>
      </c>
      <c r="G637" s="148"/>
      <c r="H637" s="89"/>
      <c r="I637" s="89"/>
      <c r="J637" s="158"/>
      <c r="K637" s="337"/>
    </row>
    <row r="638" spans="1:11" ht="15">
      <c r="A638" s="92" t="s">
        <v>652</v>
      </c>
      <c r="B638" s="87">
        <f>SUM(B639:B641)</f>
        <v>520000</v>
      </c>
      <c r="C638" s="87">
        <f>SUM(C639:C641)</f>
        <v>520000</v>
      </c>
      <c r="D638" s="93">
        <f>SUM(D639:D641)</f>
        <v>175274</v>
      </c>
      <c r="E638" s="93">
        <f>D638/C638*100</f>
        <v>33.70653846153846</v>
      </c>
      <c r="F638" s="26">
        <f t="shared" si="41"/>
        <v>623</v>
      </c>
      <c r="G638" s="220" t="s">
        <v>653</v>
      </c>
      <c r="H638" s="69">
        <f>SUM(H639:H644)</f>
        <v>3490000</v>
      </c>
      <c r="I638" s="69">
        <f>SUM(I639:I644)</f>
        <v>2387100</v>
      </c>
      <c r="J638" s="70">
        <f>SUM(J639:J644)</f>
        <v>2002231.36</v>
      </c>
      <c r="K638" s="216">
        <f aca="true" t="shared" si="44" ref="K638:K643">J638/I638*100</f>
        <v>83.87714632818064</v>
      </c>
    </row>
    <row r="639" spans="1:11" ht="15">
      <c r="A639" s="94" t="s">
        <v>654</v>
      </c>
      <c r="B639" s="31">
        <v>500000</v>
      </c>
      <c r="C639" s="31">
        <v>460200</v>
      </c>
      <c r="D639" s="24">
        <v>115543</v>
      </c>
      <c r="E639" s="24">
        <f>D639/C639*100</f>
        <v>25.107127335940895</v>
      </c>
      <c r="F639" s="26">
        <f t="shared" si="41"/>
        <v>624</v>
      </c>
      <c r="G639" s="77" t="s">
        <v>655</v>
      </c>
      <c r="H639" s="31">
        <v>40000</v>
      </c>
      <c r="I639" s="31">
        <f>40000+0+20000+29100</f>
        <v>89100</v>
      </c>
      <c r="J639" s="150">
        <v>41094</v>
      </c>
      <c r="K639" s="336">
        <f t="shared" si="44"/>
        <v>46.12121212121212</v>
      </c>
    </row>
    <row r="640" spans="1:11" ht="15">
      <c r="A640" s="236" t="s">
        <v>656</v>
      </c>
      <c r="B640" s="31">
        <v>20000</v>
      </c>
      <c r="C640" s="31">
        <v>59800</v>
      </c>
      <c r="D640" s="25">
        <v>59731</v>
      </c>
      <c r="E640" s="24">
        <f>D640/C640*100</f>
        <v>99.88461538461539</v>
      </c>
      <c r="F640" s="26">
        <f t="shared" si="41"/>
        <v>625</v>
      </c>
      <c r="G640" s="231" t="s">
        <v>657</v>
      </c>
      <c r="H640" s="31">
        <v>100000</v>
      </c>
      <c r="I640" s="31">
        <v>100000</v>
      </c>
      <c r="J640" s="150">
        <v>17708.8</v>
      </c>
      <c r="K640" s="336">
        <f>J640/I640*100</f>
        <v>17.7088</v>
      </c>
    </row>
    <row r="641" spans="1:11" ht="15">
      <c r="A641" s="237"/>
      <c r="B641" s="183"/>
      <c r="C641" s="183"/>
      <c r="D641" s="130"/>
      <c r="E641" s="139"/>
      <c r="F641" s="26">
        <f t="shared" si="41"/>
        <v>626</v>
      </c>
      <c r="G641" s="231" t="s">
        <v>658</v>
      </c>
      <c r="H641" s="31">
        <v>2000000</v>
      </c>
      <c r="I641" s="31">
        <v>614000</v>
      </c>
      <c r="J641" s="150">
        <v>613942.55</v>
      </c>
      <c r="K641" s="336">
        <f>J641/I641*100</f>
        <v>99.99064332247558</v>
      </c>
    </row>
    <row r="642" spans="1:11" ht="15">
      <c r="A642" s="161"/>
      <c r="B642" s="144"/>
      <c r="C642" s="144"/>
      <c r="D642" s="144"/>
      <c r="E642" s="144"/>
      <c r="F642" s="26">
        <f t="shared" si="41"/>
        <v>627</v>
      </c>
      <c r="G642" s="231" t="s">
        <v>659</v>
      </c>
      <c r="H642" s="31">
        <v>350000</v>
      </c>
      <c r="I642" s="31">
        <f>350000+0+0+0-100000+58000</f>
        <v>308000</v>
      </c>
      <c r="J642" s="150">
        <v>300041</v>
      </c>
      <c r="K642" s="336">
        <f t="shared" si="44"/>
        <v>97.4159090909091</v>
      </c>
    </row>
    <row r="643" spans="1:11" ht="15">
      <c r="A643" s="213"/>
      <c r="B643" s="177"/>
      <c r="C643" s="177"/>
      <c r="D643" s="34"/>
      <c r="E643" s="323"/>
      <c r="F643" s="26">
        <f t="shared" si="41"/>
        <v>628</v>
      </c>
      <c r="G643" s="231" t="s">
        <v>660</v>
      </c>
      <c r="H643" s="31">
        <v>730000</v>
      </c>
      <c r="I643" s="31">
        <v>1006000</v>
      </c>
      <c r="J643" s="150">
        <v>879768.01</v>
      </c>
      <c r="K643" s="336">
        <f t="shared" si="44"/>
        <v>87.4520884691849</v>
      </c>
    </row>
    <row r="644" spans="1:11" ht="15">
      <c r="A644" s="213"/>
      <c r="B644" s="177"/>
      <c r="C644" s="177"/>
      <c r="D644" s="34"/>
      <c r="E644" s="323"/>
      <c r="F644" s="26">
        <f t="shared" si="41"/>
        <v>629</v>
      </c>
      <c r="G644" s="231" t="s">
        <v>661</v>
      </c>
      <c r="H644" s="31">
        <v>270000</v>
      </c>
      <c r="I644" s="31">
        <v>270000</v>
      </c>
      <c r="J644" s="150">
        <v>149677</v>
      </c>
      <c r="K644" s="336">
        <f>J644/I644*100</f>
        <v>55.43592592592592</v>
      </c>
    </row>
    <row r="645" spans="1:11" ht="15">
      <c r="A645" s="65"/>
      <c r="B645" s="66"/>
      <c r="C645" s="66"/>
      <c r="D645" s="327"/>
      <c r="E645" s="327"/>
      <c r="F645" s="26">
        <f t="shared" si="41"/>
        <v>630</v>
      </c>
      <c r="G645" s="231"/>
      <c r="H645" s="89"/>
      <c r="I645" s="89"/>
      <c r="J645" s="158"/>
      <c r="K645" s="337"/>
    </row>
    <row r="646" spans="1:11" ht="15">
      <c r="A646" s="172"/>
      <c r="B646" s="66"/>
      <c r="C646" s="66"/>
      <c r="D646" s="327"/>
      <c r="E646" s="327"/>
      <c r="F646" s="26">
        <f t="shared" si="41"/>
        <v>631</v>
      </c>
      <c r="G646" s="238" t="s">
        <v>662</v>
      </c>
      <c r="H646" s="69">
        <f>SUM(H647:H648)</f>
        <v>110000</v>
      </c>
      <c r="I646" s="69">
        <f>SUM(I647:I648)</f>
        <v>110000</v>
      </c>
      <c r="J646" s="63">
        <f>SUM(J647:J648)</f>
        <v>0</v>
      </c>
      <c r="K646" s="216">
        <f>J646/I646*100</f>
        <v>0</v>
      </c>
    </row>
    <row r="647" spans="1:11" ht="15">
      <c r="A647" s="36"/>
      <c r="B647" s="177"/>
      <c r="C647" s="177"/>
      <c r="D647" s="57"/>
      <c r="E647" s="323"/>
      <c r="F647" s="26">
        <f t="shared" si="41"/>
        <v>632</v>
      </c>
      <c r="G647" s="239" t="s">
        <v>663</v>
      </c>
      <c r="H647" s="152">
        <v>60000</v>
      </c>
      <c r="I647" s="31">
        <v>60000</v>
      </c>
      <c r="J647" s="150">
        <v>0</v>
      </c>
      <c r="K647" s="336">
        <f>J647/I647*100</f>
        <v>0</v>
      </c>
    </row>
    <row r="648" spans="1:11" ht="15">
      <c r="A648" s="36"/>
      <c r="B648" s="177"/>
      <c r="C648" s="177"/>
      <c r="D648" s="57"/>
      <c r="E648" s="323"/>
      <c r="F648" s="26">
        <f t="shared" si="41"/>
        <v>633</v>
      </c>
      <c r="G648" s="239" t="s">
        <v>664</v>
      </c>
      <c r="H648" s="152">
        <v>50000</v>
      </c>
      <c r="I648" s="31">
        <v>50000</v>
      </c>
      <c r="J648" s="150">
        <v>0</v>
      </c>
      <c r="K648" s="336">
        <f>J648/I648*100</f>
        <v>0</v>
      </c>
    </row>
    <row r="649" spans="1:11" ht="15">
      <c r="A649" s="36"/>
      <c r="B649" s="91"/>
      <c r="C649" s="91"/>
      <c r="D649" s="34"/>
      <c r="E649" s="34"/>
      <c r="F649" s="26">
        <f t="shared" si="41"/>
        <v>634</v>
      </c>
      <c r="G649" s="94"/>
      <c r="H649" s="89"/>
      <c r="I649" s="89"/>
      <c r="J649" s="158"/>
      <c r="K649" s="337"/>
    </row>
    <row r="650" spans="1:11" ht="15">
      <c r="A650" s="36"/>
      <c r="B650" s="91"/>
      <c r="C650" s="91"/>
      <c r="D650" s="34"/>
      <c r="E650" s="34"/>
      <c r="F650" s="26">
        <f t="shared" si="41"/>
        <v>635</v>
      </c>
      <c r="G650" s="220" t="s">
        <v>665</v>
      </c>
      <c r="H650" s="69">
        <f>SUM(H651:H652)</f>
        <v>900000</v>
      </c>
      <c r="I650" s="69">
        <f>SUM(I651:I652)</f>
        <v>338800</v>
      </c>
      <c r="J650" s="70">
        <f>SUM(J651:J652)</f>
        <v>113120</v>
      </c>
      <c r="K650" s="216">
        <f>J650/I650*100</f>
        <v>33.388429752066116</v>
      </c>
    </row>
    <row r="651" spans="1:11" ht="15">
      <c r="A651" s="36"/>
      <c r="B651" s="91"/>
      <c r="C651" s="91"/>
      <c r="D651" s="34"/>
      <c r="E651" s="34"/>
      <c r="F651" s="26">
        <f t="shared" si="41"/>
        <v>636</v>
      </c>
      <c r="G651" s="147" t="s">
        <v>666</v>
      </c>
      <c r="H651" s="31">
        <v>400000</v>
      </c>
      <c r="I651" s="31">
        <f>400000+0+0+0-200000-200000+38800</f>
        <v>38800</v>
      </c>
      <c r="J651" s="150">
        <v>38720</v>
      </c>
      <c r="K651" s="336">
        <f>J651/I651*100</f>
        <v>99.79381443298969</v>
      </c>
    </row>
    <row r="652" spans="1:11" ht="15">
      <c r="A652" s="36"/>
      <c r="B652" s="91"/>
      <c r="C652" s="91"/>
      <c r="D652" s="34"/>
      <c r="E652" s="34"/>
      <c r="F652" s="26">
        <f t="shared" si="41"/>
        <v>637</v>
      </c>
      <c r="G652" s="148" t="s">
        <v>667</v>
      </c>
      <c r="H652" s="31">
        <v>500000</v>
      </c>
      <c r="I652" s="31">
        <f>500000-200000</f>
        <v>300000</v>
      </c>
      <c r="J652" s="150">
        <v>74400</v>
      </c>
      <c r="K652" s="336">
        <f>J652/I652*100</f>
        <v>24.8</v>
      </c>
    </row>
    <row r="653" spans="1:11" ht="15">
      <c r="A653" s="36"/>
      <c r="B653" s="91"/>
      <c r="C653" s="91"/>
      <c r="D653" s="34"/>
      <c r="E653" s="34"/>
      <c r="F653" s="26">
        <f t="shared" si="41"/>
        <v>638</v>
      </c>
      <c r="G653" s="148"/>
      <c r="H653" s="78"/>
      <c r="I653" s="78"/>
      <c r="J653" s="79"/>
      <c r="K653" s="337"/>
    </row>
    <row r="654" spans="1:11" ht="15">
      <c r="A654" s="92" t="s">
        <v>668</v>
      </c>
      <c r="B654" s="62">
        <f>SUM(B655:B660)</f>
        <v>7712200</v>
      </c>
      <c r="C654" s="62">
        <f>SUM(C655:C660)</f>
        <v>9472700</v>
      </c>
      <c r="D654" s="63">
        <f>SUM(D655:D660)</f>
        <v>9071353</v>
      </c>
      <c r="E654" s="63">
        <f>D654/C654*100</f>
        <v>95.76311927961405</v>
      </c>
      <c r="F654" s="26">
        <f t="shared" si="41"/>
        <v>639</v>
      </c>
      <c r="G654" s="220" t="s">
        <v>669</v>
      </c>
      <c r="H654" s="70">
        <f>SUM(H655:H700)</f>
        <v>5830700</v>
      </c>
      <c r="I654" s="70">
        <f>SUM(I655:I700)</f>
        <v>8187400</v>
      </c>
      <c r="J654" s="70">
        <f>SUM(J655:J700)</f>
        <v>7465232.86</v>
      </c>
      <c r="K654" s="216">
        <f>J654/I654*100</f>
        <v>91.17953025380463</v>
      </c>
    </row>
    <row r="655" spans="1:11" ht="15">
      <c r="A655" s="94" t="s">
        <v>670</v>
      </c>
      <c r="B655" s="23">
        <v>494700</v>
      </c>
      <c r="C655" s="23">
        <v>494700</v>
      </c>
      <c r="D655" s="25">
        <v>199062</v>
      </c>
      <c r="E655" s="25">
        <f>D655/C655*100</f>
        <v>40.23893268647665</v>
      </c>
      <c r="F655" s="26">
        <f t="shared" si="41"/>
        <v>640</v>
      </c>
      <c r="G655" s="148" t="s">
        <v>671</v>
      </c>
      <c r="H655" s="31">
        <f>306400+123600</f>
        <v>430000</v>
      </c>
      <c r="I655" s="31">
        <v>269300</v>
      </c>
      <c r="J655" s="150">
        <v>205513</v>
      </c>
      <c r="K655" s="336">
        <f>J655/I655*100</f>
        <v>76.31377645748236</v>
      </c>
    </row>
    <row r="656" spans="1:11" ht="15">
      <c r="A656" s="94" t="s">
        <v>672</v>
      </c>
      <c r="B656" s="23">
        <v>0</v>
      </c>
      <c r="C656" s="23">
        <f>0+0+0+0+0+0+500</f>
        <v>500</v>
      </c>
      <c r="D656" s="25">
        <v>466</v>
      </c>
      <c r="E656" s="25">
        <f>D656/C656*100</f>
        <v>93.2</v>
      </c>
      <c r="F656" s="26">
        <f t="shared" si="41"/>
        <v>641</v>
      </c>
      <c r="G656" s="148" t="s">
        <v>673</v>
      </c>
      <c r="H656" s="31">
        <v>1760000</v>
      </c>
      <c r="I656" s="31">
        <f>1760000-55000</f>
        <v>1705000</v>
      </c>
      <c r="J656" s="150">
        <v>1694336</v>
      </c>
      <c r="K656" s="336">
        <f aca="true" t="shared" si="45" ref="K656:K696">J656/I656*100</f>
        <v>99.37454545454545</v>
      </c>
    </row>
    <row r="657" spans="1:11" ht="15">
      <c r="A657" s="94" t="s">
        <v>674</v>
      </c>
      <c r="B657" s="23">
        <v>7000000</v>
      </c>
      <c r="C657" s="23">
        <f>7000000+0+0+0+1710000</f>
        <v>8710000</v>
      </c>
      <c r="D657" s="25">
        <v>8657350</v>
      </c>
      <c r="E657" s="25">
        <f>D657/C657*100</f>
        <v>99.3955223880597</v>
      </c>
      <c r="F657" s="26">
        <f t="shared" si="41"/>
        <v>642</v>
      </c>
      <c r="G657" s="148" t="s">
        <v>1090</v>
      </c>
      <c r="H657" s="31">
        <v>0</v>
      </c>
      <c r="I657" s="31">
        <v>18500</v>
      </c>
      <c r="J657" s="150">
        <v>18408.85</v>
      </c>
      <c r="K657" s="336">
        <f>J657/I657*100</f>
        <v>99.5072972972973</v>
      </c>
    </row>
    <row r="658" spans="1:11" ht="15">
      <c r="A658" s="156" t="s">
        <v>676</v>
      </c>
      <c r="B658" s="38">
        <v>217500</v>
      </c>
      <c r="C658" s="38">
        <f>217500+0+0+0+50000</f>
        <v>267500</v>
      </c>
      <c r="D658" s="40">
        <v>214475</v>
      </c>
      <c r="E658" s="40">
        <f>D658/C658*100</f>
        <v>80.17757009345794</v>
      </c>
      <c r="F658" s="26">
        <f t="shared" si="41"/>
        <v>643</v>
      </c>
      <c r="G658" s="148" t="s">
        <v>1091</v>
      </c>
      <c r="H658" s="31">
        <v>0</v>
      </c>
      <c r="I658" s="31">
        <v>86100</v>
      </c>
      <c r="J658" s="150">
        <v>86068.15</v>
      </c>
      <c r="K658" s="336">
        <f>J658/I658*100</f>
        <v>99.9630081300813</v>
      </c>
    </row>
    <row r="659" spans="1:11" ht="15">
      <c r="A659" s="97"/>
      <c r="B659" s="138"/>
      <c r="C659" s="138"/>
      <c r="D659" s="130"/>
      <c r="E659" s="364"/>
      <c r="F659" s="26">
        <f t="shared" si="41"/>
        <v>644</v>
      </c>
      <c r="G659" s="148" t="s">
        <v>675</v>
      </c>
      <c r="H659" s="31">
        <v>311900</v>
      </c>
      <c r="I659" s="31">
        <f>311900+0+0+0+0+0+104500</f>
        <v>416400</v>
      </c>
      <c r="J659" s="150">
        <v>416319</v>
      </c>
      <c r="K659" s="336">
        <f t="shared" si="45"/>
        <v>99.98054755043228</v>
      </c>
    </row>
    <row r="660" spans="1:11" ht="15">
      <c r="A660" s="36"/>
      <c r="B660" s="91"/>
      <c r="C660" s="91"/>
      <c r="D660" s="34"/>
      <c r="E660" s="332"/>
      <c r="F660" s="26">
        <f aca="true" t="shared" si="46" ref="F660:F723">F659+1</f>
        <v>645</v>
      </c>
      <c r="G660" s="148" t="s">
        <v>677</v>
      </c>
      <c r="H660" s="31">
        <v>6700</v>
      </c>
      <c r="I660" s="31">
        <f>6700+0+181200+0+49400</f>
        <v>237300</v>
      </c>
      <c r="J660" s="150">
        <v>216165.3</v>
      </c>
      <c r="K660" s="336">
        <f t="shared" si="45"/>
        <v>91.0936788874842</v>
      </c>
    </row>
    <row r="661" spans="1:11" ht="15">
      <c r="A661" s="161"/>
      <c r="B661" s="144"/>
      <c r="C661" s="144"/>
      <c r="D661" s="144"/>
      <c r="E661" s="144"/>
      <c r="F661" s="26">
        <f t="shared" si="46"/>
        <v>646</v>
      </c>
      <c r="G661" s="148" t="s">
        <v>678</v>
      </c>
      <c r="H661" s="31">
        <v>38100</v>
      </c>
      <c r="I661" s="31">
        <f>38100+0+1026600+0+279700</f>
        <v>1344400</v>
      </c>
      <c r="J661" s="150">
        <v>1224936.7</v>
      </c>
      <c r="K661" s="336">
        <f t="shared" si="45"/>
        <v>91.11400624814043</v>
      </c>
    </row>
    <row r="662" spans="1:11" ht="15">
      <c r="A662" s="36"/>
      <c r="B662" s="91"/>
      <c r="C662" s="91"/>
      <c r="D662" s="34"/>
      <c r="E662" s="34"/>
      <c r="F662" s="26">
        <f t="shared" si="46"/>
        <v>647</v>
      </c>
      <c r="G662" s="148" t="s">
        <v>679</v>
      </c>
      <c r="H662" s="31">
        <v>70000</v>
      </c>
      <c r="I662" s="31">
        <f>70000-15000</f>
        <v>55000</v>
      </c>
      <c r="J662" s="150">
        <v>39500</v>
      </c>
      <c r="K662" s="336">
        <f t="shared" si="45"/>
        <v>71.81818181818181</v>
      </c>
    </row>
    <row r="663" spans="1:11" ht="15">
      <c r="A663" s="240"/>
      <c r="B663" s="241"/>
      <c r="C663" s="241"/>
      <c r="D663" s="242"/>
      <c r="E663" s="241"/>
      <c r="F663" s="26">
        <f t="shared" si="46"/>
        <v>648</v>
      </c>
      <c r="G663" s="148" t="s">
        <v>680</v>
      </c>
      <c r="H663" s="31">
        <f>76600+30800</f>
        <v>107400</v>
      </c>
      <c r="I663" s="31">
        <f>107400+0+62500+0+0+0-26100-37500</f>
        <v>106300</v>
      </c>
      <c r="J663" s="150">
        <v>53489</v>
      </c>
      <c r="K663" s="336">
        <f t="shared" si="45"/>
        <v>50.318908748824086</v>
      </c>
    </row>
    <row r="664" spans="1:11" ht="15">
      <c r="A664" s="240"/>
      <c r="B664" s="241"/>
      <c r="C664" s="241"/>
      <c r="D664" s="241"/>
      <c r="E664" s="241"/>
      <c r="F664" s="26">
        <f t="shared" si="46"/>
        <v>649</v>
      </c>
      <c r="G664" s="148" t="s">
        <v>681</v>
      </c>
      <c r="H664" s="31">
        <v>430000</v>
      </c>
      <c r="I664" s="31">
        <v>427800</v>
      </c>
      <c r="J664" s="150">
        <v>427728</v>
      </c>
      <c r="K664" s="336">
        <f t="shared" si="45"/>
        <v>99.98316970546985</v>
      </c>
    </row>
    <row r="665" spans="1:11" ht="15">
      <c r="A665" s="240"/>
      <c r="B665" s="241"/>
      <c r="C665" s="241"/>
      <c r="D665" s="241"/>
      <c r="E665" s="241"/>
      <c r="F665" s="26">
        <f t="shared" si="46"/>
        <v>650</v>
      </c>
      <c r="G665" s="148" t="s">
        <v>1092</v>
      </c>
      <c r="H665" s="31">
        <v>0</v>
      </c>
      <c r="I665" s="31">
        <v>4700</v>
      </c>
      <c r="J665" s="150">
        <v>4602.34</v>
      </c>
      <c r="K665" s="336">
        <f>J665/I665*100</f>
        <v>97.92212765957447</v>
      </c>
    </row>
    <row r="666" spans="1:11" ht="15">
      <c r="A666" s="240"/>
      <c r="B666" s="241"/>
      <c r="C666" s="241"/>
      <c r="D666" s="241"/>
      <c r="E666" s="241"/>
      <c r="F666" s="26">
        <f t="shared" si="46"/>
        <v>651</v>
      </c>
      <c r="G666" s="148" t="s">
        <v>1093</v>
      </c>
      <c r="H666" s="31">
        <v>0</v>
      </c>
      <c r="I666" s="31">
        <v>21600</v>
      </c>
      <c r="J666" s="150">
        <v>21517.66</v>
      </c>
      <c r="K666" s="336">
        <f>J666/I666*100</f>
        <v>99.6187962962963</v>
      </c>
    </row>
    <row r="667" spans="1:11" ht="15">
      <c r="A667" s="240"/>
      <c r="B667" s="241"/>
      <c r="C667" s="241"/>
      <c r="D667" s="242"/>
      <c r="E667" s="241"/>
      <c r="F667" s="26">
        <f t="shared" si="46"/>
        <v>652</v>
      </c>
      <c r="G667" s="148" t="s">
        <v>1094</v>
      </c>
      <c r="H667" s="31">
        <v>78000</v>
      </c>
      <c r="I667" s="31">
        <f>78000+0+0+0+0+0+26100</f>
        <v>104100</v>
      </c>
      <c r="J667" s="150">
        <v>104078</v>
      </c>
      <c r="K667" s="336">
        <f t="shared" si="45"/>
        <v>99.97886647454371</v>
      </c>
    </row>
    <row r="668" spans="1:11" ht="15">
      <c r="A668" s="240"/>
      <c r="B668" s="241"/>
      <c r="C668" s="241"/>
      <c r="D668" s="241"/>
      <c r="E668" s="241"/>
      <c r="F668" s="26">
        <f t="shared" si="46"/>
        <v>653</v>
      </c>
      <c r="G668" s="148" t="s">
        <v>682</v>
      </c>
      <c r="H668" s="31">
        <v>1700</v>
      </c>
      <c r="I668" s="31">
        <f>1700+0+45300+0+12300</f>
        <v>59300</v>
      </c>
      <c r="J668" s="150">
        <v>54041.4</v>
      </c>
      <c r="K668" s="336">
        <f t="shared" si="45"/>
        <v>91.13220910623946</v>
      </c>
    </row>
    <row r="669" spans="1:11" ht="15">
      <c r="A669" s="240"/>
      <c r="B669" s="241"/>
      <c r="C669" s="241"/>
      <c r="D669" s="241"/>
      <c r="E669" s="241"/>
      <c r="F669" s="26">
        <f t="shared" si="46"/>
        <v>654</v>
      </c>
      <c r="G669" s="148" t="s">
        <v>683</v>
      </c>
      <c r="H669" s="31">
        <v>9500</v>
      </c>
      <c r="I669" s="31">
        <f>9500+0+256600+0+70000</f>
        <v>336100</v>
      </c>
      <c r="J669" s="150">
        <v>306234.6</v>
      </c>
      <c r="K669" s="336">
        <f t="shared" si="45"/>
        <v>91.11413269860161</v>
      </c>
    </row>
    <row r="670" spans="1:11" ht="15">
      <c r="A670" s="240"/>
      <c r="B670" s="243"/>
      <c r="C670" s="243"/>
      <c r="D670" s="241"/>
      <c r="E670" s="241"/>
      <c r="F670" s="26">
        <f t="shared" si="46"/>
        <v>655</v>
      </c>
      <c r="G670" s="148" t="s">
        <v>684</v>
      </c>
      <c r="H670" s="31">
        <f>28000+11100</f>
        <v>39100</v>
      </c>
      <c r="I670" s="31">
        <f>39100+0+22500+0+0+0-9400-13500</f>
        <v>38700</v>
      </c>
      <c r="J670" s="150">
        <v>19263</v>
      </c>
      <c r="K670" s="336">
        <f t="shared" si="45"/>
        <v>49.775193798449614</v>
      </c>
    </row>
    <row r="671" spans="1:11" ht="15">
      <c r="A671" s="240"/>
      <c r="B671" s="241"/>
      <c r="C671" s="241"/>
      <c r="D671" s="241"/>
      <c r="E671" s="241"/>
      <c r="F671" s="26">
        <f t="shared" si="46"/>
        <v>656</v>
      </c>
      <c r="G671" s="148" t="s">
        <v>685</v>
      </c>
      <c r="H671" s="31">
        <v>158400</v>
      </c>
      <c r="I671" s="31">
        <v>154000</v>
      </c>
      <c r="J671" s="150">
        <v>153984</v>
      </c>
      <c r="K671" s="336">
        <f t="shared" si="45"/>
        <v>99.98961038961039</v>
      </c>
    </row>
    <row r="672" spans="1:11" ht="15">
      <c r="A672" s="240"/>
      <c r="B672" s="241"/>
      <c r="C672" s="241"/>
      <c r="D672" s="241"/>
      <c r="E672" s="241"/>
      <c r="F672" s="26">
        <f t="shared" si="46"/>
        <v>657</v>
      </c>
      <c r="G672" s="148" t="s">
        <v>1096</v>
      </c>
      <c r="H672" s="31">
        <v>0</v>
      </c>
      <c r="I672" s="31">
        <v>1700</v>
      </c>
      <c r="J672" s="150">
        <v>1656.81</v>
      </c>
      <c r="K672" s="336">
        <f>J672/I672*100</f>
        <v>97.45941176470588</v>
      </c>
    </row>
    <row r="673" spans="1:11" ht="15">
      <c r="A673" s="240"/>
      <c r="B673" s="241"/>
      <c r="C673" s="241"/>
      <c r="D673" s="241"/>
      <c r="E673" s="241"/>
      <c r="F673" s="26">
        <f t="shared" si="46"/>
        <v>658</v>
      </c>
      <c r="G673" s="148" t="s">
        <v>1095</v>
      </c>
      <c r="H673" s="31">
        <v>0</v>
      </c>
      <c r="I673" s="31">
        <v>7800</v>
      </c>
      <c r="J673" s="150">
        <v>7746.19</v>
      </c>
      <c r="K673" s="336">
        <f>J673/I673*100</f>
        <v>99.3101282051282</v>
      </c>
    </row>
    <row r="674" spans="1:11" ht="15">
      <c r="A674" s="240"/>
      <c r="B674" s="241"/>
      <c r="C674" s="241"/>
      <c r="D674" s="241"/>
      <c r="E674" s="241"/>
      <c r="F674" s="26">
        <f t="shared" si="46"/>
        <v>659</v>
      </c>
      <c r="G674" s="148" t="s">
        <v>686</v>
      </c>
      <c r="H674" s="31">
        <v>28100</v>
      </c>
      <c r="I674" s="31">
        <f>28100+0+0+0+0+0+9400</f>
        <v>37500</v>
      </c>
      <c r="J674" s="150">
        <v>37468</v>
      </c>
      <c r="K674" s="336">
        <f t="shared" si="45"/>
        <v>99.91466666666666</v>
      </c>
    </row>
    <row r="675" spans="1:11" ht="15">
      <c r="A675" s="240"/>
      <c r="B675" s="241"/>
      <c r="C675" s="241"/>
      <c r="D675" s="241"/>
      <c r="E675" s="241"/>
      <c r="F675" s="26">
        <f t="shared" si="46"/>
        <v>660</v>
      </c>
      <c r="G675" s="148" t="s">
        <v>687</v>
      </c>
      <c r="H675" s="31">
        <v>600</v>
      </c>
      <c r="I675" s="31">
        <f>600+0+16300+0+4400</f>
        <v>21300</v>
      </c>
      <c r="J675" s="150">
        <v>19454.7</v>
      </c>
      <c r="K675" s="336">
        <f t="shared" si="45"/>
        <v>91.33661971830986</v>
      </c>
    </row>
    <row r="676" spans="1:11" ht="15">
      <c r="A676" s="240"/>
      <c r="B676" s="241"/>
      <c r="C676" s="241"/>
      <c r="D676" s="241"/>
      <c r="E676" s="241"/>
      <c r="F676" s="26">
        <f t="shared" si="46"/>
        <v>661</v>
      </c>
      <c r="G676" s="148" t="s">
        <v>688</v>
      </c>
      <c r="H676" s="31">
        <v>3400</v>
      </c>
      <c r="I676" s="31">
        <f>3400+0+92400+0+25200</f>
        <v>121000</v>
      </c>
      <c r="J676" s="150">
        <v>110243.3</v>
      </c>
      <c r="K676" s="336">
        <f t="shared" si="45"/>
        <v>91.1101652892562</v>
      </c>
    </row>
    <row r="677" spans="1:11" ht="15">
      <c r="A677" s="240"/>
      <c r="B677" s="241"/>
      <c r="C677" s="241"/>
      <c r="D677" s="241"/>
      <c r="E677" s="241"/>
      <c r="F677" s="26">
        <f t="shared" si="46"/>
        <v>662</v>
      </c>
      <c r="G677" s="77" t="s">
        <v>689</v>
      </c>
      <c r="H677" s="31">
        <v>55000</v>
      </c>
      <c r="I677" s="31">
        <v>49700</v>
      </c>
      <c r="J677" s="150">
        <v>49643</v>
      </c>
      <c r="K677" s="336">
        <f t="shared" si="45"/>
        <v>99.88531187122737</v>
      </c>
    </row>
    <row r="678" spans="1:11" ht="15">
      <c r="A678" s="240"/>
      <c r="B678" s="241"/>
      <c r="C678" s="241"/>
      <c r="D678" s="241"/>
      <c r="E678" s="241"/>
      <c r="F678" s="26">
        <f t="shared" si="46"/>
        <v>663</v>
      </c>
      <c r="G678" s="77" t="s">
        <v>690</v>
      </c>
      <c r="H678" s="31">
        <v>5000</v>
      </c>
      <c r="I678" s="31">
        <v>5000</v>
      </c>
      <c r="J678" s="150">
        <v>0</v>
      </c>
      <c r="K678" s="336">
        <f t="shared" si="45"/>
        <v>0</v>
      </c>
    </row>
    <row r="679" spans="1:11" ht="15">
      <c r="A679" s="36"/>
      <c r="B679" s="91"/>
      <c r="C679" s="91"/>
      <c r="D679" s="34"/>
      <c r="E679" s="34"/>
      <c r="F679" s="26">
        <f t="shared" si="46"/>
        <v>664</v>
      </c>
      <c r="G679" s="77" t="s">
        <v>691</v>
      </c>
      <c r="H679" s="31">
        <v>2000</v>
      </c>
      <c r="I679" s="31">
        <v>2000</v>
      </c>
      <c r="J679" s="150">
        <v>0</v>
      </c>
      <c r="K679" s="336">
        <f t="shared" si="45"/>
        <v>0</v>
      </c>
    </row>
    <row r="680" spans="1:11" ht="15">
      <c r="A680" s="36"/>
      <c r="B680" s="91"/>
      <c r="C680" s="91"/>
      <c r="D680" s="34"/>
      <c r="E680" s="34"/>
      <c r="F680" s="26">
        <f t="shared" si="46"/>
        <v>665</v>
      </c>
      <c r="G680" s="77" t="s">
        <v>692</v>
      </c>
      <c r="H680" s="31">
        <v>50000</v>
      </c>
      <c r="I680" s="31">
        <v>50000</v>
      </c>
      <c r="J680" s="166">
        <v>24751</v>
      </c>
      <c r="K680" s="336">
        <f t="shared" si="45"/>
        <v>49.502</v>
      </c>
    </row>
    <row r="681" spans="1:11" ht="15">
      <c r="A681" s="36"/>
      <c r="B681" s="91"/>
      <c r="C681" s="91"/>
      <c r="D681" s="34"/>
      <c r="E681" s="34"/>
      <c r="F681" s="26">
        <f t="shared" si="46"/>
        <v>666</v>
      </c>
      <c r="G681" s="128" t="s">
        <v>693</v>
      </c>
      <c r="H681" s="31">
        <v>150000</v>
      </c>
      <c r="I681" s="31">
        <f>150000+0+0+0+0+0+0-102500+5400</f>
        <v>52900</v>
      </c>
      <c r="J681" s="150">
        <v>52803</v>
      </c>
      <c r="K681" s="336">
        <f t="shared" si="45"/>
        <v>99.81663516068053</v>
      </c>
    </row>
    <row r="682" spans="1:11" ht="15">
      <c r="A682" s="36"/>
      <c r="B682" s="91"/>
      <c r="C682" s="91"/>
      <c r="D682" s="34"/>
      <c r="E682" s="34"/>
      <c r="F682" s="26">
        <f t="shared" si="46"/>
        <v>667</v>
      </c>
      <c r="G682" s="77" t="s">
        <v>694</v>
      </c>
      <c r="H682" s="31">
        <v>390000</v>
      </c>
      <c r="I682" s="31">
        <v>390000</v>
      </c>
      <c r="J682" s="150">
        <v>384835.09</v>
      </c>
      <c r="K682" s="336">
        <f t="shared" si="45"/>
        <v>98.67566410256411</v>
      </c>
    </row>
    <row r="683" spans="1:11" ht="15">
      <c r="A683" s="36"/>
      <c r="B683" s="91"/>
      <c r="C683" s="91"/>
      <c r="D683" s="34"/>
      <c r="E683" s="34"/>
      <c r="F683" s="26">
        <f t="shared" si="46"/>
        <v>668</v>
      </c>
      <c r="G683" s="77" t="s">
        <v>695</v>
      </c>
      <c r="H683" s="31">
        <v>100000</v>
      </c>
      <c r="I683" s="31">
        <f>100000-5400</f>
        <v>94600</v>
      </c>
      <c r="J683" s="150">
        <v>37632</v>
      </c>
      <c r="K683" s="336">
        <f t="shared" si="45"/>
        <v>39.780126849894295</v>
      </c>
    </row>
    <row r="684" spans="1:11" ht="15">
      <c r="A684" s="36"/>
      <c r="B684" s="91"/>
      <c r="C684" s="91"/>
      <c r="D684" s="34"/>
      <c r="E684" s="34"/>
      <c r="F684" s="26">
        <f t="shared" si="46"/>
        <v>669</v>
      </c>
      <c r="G684" s="77" t="s">
        <v>696</v>
      </c>
      <c r="H684" s="31">
        <v>0</v>
      </c>
      <c r="I684" s="31">
        <f>0+400</f>
        <v>400</v>
      </c>
      <c r="J684" s="150">
        <v>365</v>
      </c>
      <c r="K684" s="336">
        <f t="shared" si="45"/>
        <v>91.25</v>
      </c>
    </row>
    <row r="685" spans="1:11" ht="15">
      <c r="A685" s="36"/>
      <c r="B685" s="91"/>
      <c r="C685" s="91"/>
      <c r="D685" s="34"/>
      <c r="E685" s="34"/>
      <c r="F685" s="26">
        <f t="shared" si="46"/>
        <v>670</v>
      </c>
      <c r="G685" s="77" t="s">
        <v>697</v>
      </c>
      <c r="H685" s="31">
        <v>5000</v>
      </c>
      <c r="I685" s="31">
        <v>5000</v>
      </c>
      <c r="J685" s="150">
        <v>0</v>
      </c>
      <c r="K685" s="336">
        <f t="shared" si="45"/>
        <v>0</v>
      </c>
    </row>
    <row r="686" spans="1:11" ht="15">
      <c r="A686" s="36"/>
      <c r="B686" s="91"/>
      <c r="C686" s="91"/>
      <c r="D686" s="34"/>
      <c r="E686" s="34"/>
      <c r="F686" s="26">
        <f t="shared" si="46"/>
        <v>671</v>
      </c>
      <c r="G686" s="77" t="s">
        <v>698</v>
      </c>
      <c r="H686" s="31">
        <v>600000</v>
      </c>
      <c r="I686" s="31">
        <v>570300</v>
      </c>
      <c r="J686" s="150">
        <v>502494.53</v>
      </c>
      <c r="K686" s="336">
        <f t="shared" si="45"/>
        <v>88.11056110818868</v>
      </c>
    </row>
    <row r="687" spans="1:11" ht="15">
      <c r="A687" s="36"/>
      <c r="B687" s="91"/>
      <c r="C687" s="91"/>
      <c r="D687" s="34"/>
      <c r="E687" s="34"/>
      <c r="F687" s="26">
        <f t="shared" si="46"/>
        <v>672</v>
      </c>
      <c r="G687" s="77" t="s">
        <v>699</v>
      </c>
      <c r="H687" s="31">
        <v>3000</v>
      </c>
      <c r="I687" s="31">
        <v>3000</v>
      </c>
      <c r="J687" s="150">
        <v>1980.69</v>
      </c>
      <c r="K687" s="336">
        <f t="shared" si="45"/>
        <v>66.023</v>
      </c>
    </row>
    <row r="688" spans="1:11" ht="15">
      <c r="A688" s="36"/>
      <c r="B688" s="91"/>
      <c r="C688" s="91"/>
      <c r="D688" s="34"/>
      <c r="E688" s="34"/>
      <c r="F688" s="26">
        <f t="shared" si="46"/>
        <v>673</v>
      </c>
      <c r="G688" s="77" t="s">
        <v>700</v>
      </c>
      <c r="H688" s="31">
        <v>50000</v>
      </c>
      <c r="I688" s="31">
        <f>50000+0+0+0+0+0+0+0+2000</f>
        <v>52000</v>
      </c>
      <c r="J688" s="150">
        <v>46199</v>
      </c>
      <c r="K688" s="336">
        <f t="shared" si="45"/>
        <v>88.84423076923078</v>
      </c>
    </row>
    <row r="689" spans="1:11" ht="15">
      <c r="A689" s="36"/>
      <c r="B689" s="91"/>
      <c r="C689" s="91"/>
      <c r="D689" s="34"/>
      <c r="E689" s="34"/>
      <c r="F689" s="26">
        <f t="shared" si="46"/>
        <v>674</v>
      </c>
      <c r="G689" s="77" t="s">
        <v>701</v>
      </c>
      <c r="H689" s="31">
        <v>30000</v>
      </c>
      <c r="I689" s="31">
        <v>30000</v>
      </c>
      <c r="J689" s="150">
        <v>0</v>
      </c>
      <c r="K689" s="336">
        <f t="shared" si="45"/>
        <v>0</v>
      </c>
    </row>
    <row r="690" spans="1:11" ht="15">
      <c r="A690" s="36"/>
      <c r="B690" s="91"/>
      <c r="C690" s="91"/>
      <c r="D690" s="34"/>
      <c r="E690" s="34"/>
      <c r="F690" s="26">
        <f t="shared" si="46"/>
        <v>675</v>
      </c>
      <c r="G690" s="77" t="s">
        <v>702</v>
      </c>
      <c r="H690" s="31">
        <v>50000</v>
      </c>
      <c r="I690" s="31">
        <f>50000-400</f>
        <v>49600</v>
      </c>
      <c r="J690" s="150">
        <v>17846</v>
      </c>
      <c r="K690" s="336">
        <f t="shared" si="45"/>
        <v>35.979838709677416</v>
      </c>
    </row>
    <row r="691" spans="1:11" ht="15">
      <c r="A691" s="36"/>
      <c r="B691" s="91"/>
      <c r="C691" s="91"/>
      <c r="D691" s="34"/>
      <c r="E691" s="91"/>
      <c r="F691" s="26">
        <f t="shared" si="46"/>
        <v>676</v>
      </c>
      <c r="G691" s="77" t="s">
        <v>703</v>
      </c>
      <c r="H691" s="31">
        <v>200000</v>
      </c>
      <c r="I691" s="31">
        <v>200000</v>
      </c>
      <c r="J691" s="150">
        <v>195829.45</v>
      </c>
      <c r="K691" s="336">
        <f t="shared" si="45"/>
        <v>97.914725</v>
      </c>
    </row>
    <row r="692" spans="1:11" ht="15">
      <c r="A692" s="36"/>
      <c r="B692" s="91"/>
      <c r="C692" s="91"/>
      <c r="D692" s="34"/>
      <c r="E692" s="91"/>
      <c r="F692" s="26">
        <f t="shared" si="46"/>
        <v>677</v>
      </c>
      <c r="G692" s="77" t="s">
        <v>704</v>
      </c>
      <c r="H692" s="31">
        <v>10000</v>
      </c>
      <c r="I692" s="31">
        <v>10000</v>
      </c>
      <c r="J692" s="150">
        <v>7306</v>
      </c>
      <c r="K692" s="336">
        <f t="shared" si="45"/>
        <v>73.06</v>
      </c>
    </row>
    <row r="693" spans="1:11" ht="15">
      <c r="A693" s="36"/>
      <c r="B693" s="91"/>
      <c r="C693" s="91"/>
      <c r="D693" s="34"/>
      <c r="E693" s="91"/>
      <c r="F693" s="26">
        <f t="shared" si="46"/>
        <v>678</v>
      </c>
      <c r="G693" s="77" t="s">
        <v>705</v>
      </c>
      <c r="H693" s="31">
        <v>10000</v>
      </c>
      <c r="I693" s="31">
        <f>10000+0+0+0+0+0+0+0+5000</f>
        <v>15000</v>
      </c>
      <c r="J693" s="150">
        <v>11000</v>
      </c>
      <c r="K693" s="336">
        <f t="shared" si="45"/>
        <v>73.33333333333333</v>
      </c>
    </row>
    <row r="694" spans="1:11" ht="15">
      <c r="A694" s="58"/>
      <c r="B694" s="59"/>
      <c r="C694" s="59"/>
      <c r="D694" s="57"/>
      <c r="E694" s="60"/>
      <c r="F694" s="26">
        <f t="shared" si="46"/>
        <v>679</v>
      </c>
      <c r="G694" s="148" t="s">
        <v>706</v>
      </c>
      <c r="H694" s="31">
        <v>117800</v>
      </c>
      <c r="I694" s="31">
        <v>117800</v>
      </c>
      <c r="J694" s="150">
        <v>117775</v>
      </c>
      <c r="K694" s="336">
        <f t="shared" si="45"/>
        <v>99.97877758913413</v>
      </c>
    </row>
    <row r="695" spans="1:11" ht="15">
      <c r="A695" s="58"/>
      <c r="B695" s="59"/>
      <c r="C695" s="59"/>
      <c r="D695" s="57"/>
      <c r="E695" s="60"/>
      <c r="F695" s="26">
        <f t="shared" si="46"/>
        <v>680</v>
      </c>
      <c r="G695" s="148" t="s">
        <v>707</v>
      </c>
      <c r="H695" s="31">
        <v>40000</v>
      </c>
      <c r="I695" s="31">
        <f>40000+250000+0+0+50000+300000</f>
        <v>640000</v>
      </c>
      <c r="J695" s="150">
        <v>548972</v>
      </c>
      <c r="K695" s="336">
        <f t="shared" si="45"/>
        <v>85.77687499999999</v>
      </c>
    </row>
    <row r="696" spans="1:11" ht="15">
      <c r="A696" s="58"/>
      <c r="B696" s="59"/>
      <c r="C696" s="59"/>
      <c r="D696" s="57"/>
      <c r="E696" s="60"/>
      <c r="F696" s="26">
        <f t="shared" si="46"/>
        <v>681</v>
      </c>
      <c r="G696" s="77" t="s">
        <v>708</v>
      </c>
      <c r="H696" s="31">
        <v>20000</v>
      </c>
      <c r="I696" s="31">
        <f>20000+3700</f>
        <v>23700</v>
      </c>
      <c r="J696" s="150">
        <v>23644</v>
      </c>
      <c r="K696" s="336">
        <f t="shared" si="45"/>
        <v>99.76371308016878</v>
      </c>
    </row>
    <row r="697" spans="1:11" ht="15">
      <c r="A697" s="58"/>
      <c r="B697" s="59"/>
      <c r="C697" s="59"/>
      <c r="D697" s="57"/>
      <c r="E697" s="60"/>
      <c r="F697" s="26">
        <f t="shared" si="46"/>
        <v>682</v>
      </c>
      <c r="G697" s="77" t="s">
        <v>709</v>
      </c>
      <c r="H697" s="31">
        <v>20000</v>
      </c>
      <c r="I697" s="31">
        <v>20000</v>
      </c>
      <c r="J697" s="150">
        <v>18894</v>
      </c>
      <c r="K697" s="336">
        <f>J697/I697*100</f>
        <v>94.47</v>
      </c>
    </row>
    <row r="698" spans="1:11" ht="15">
      <c r="A698" s="58"/>
      <c r="B698" s="59"/>
      <c r="C698" s="59"/>
      <c r="D698" s="57"/>
      <c r="E698" s="60"/>
      <c r="F698" s="26">
        <f t="shared" si="46"/>
        <v>683</v>
      </c>
      <c r="G698" s="148" t="s">
        <v>710</v>
      </c>
      <c r="H698" s="31">
        <v>250000</v>
      </c>
      <c r="I698" s="31">
        <f>250000-250000+0+0+30000</f>
        <v>30000</v>
      </c>
      <c r="J698" s="150">
        <v>0</v>
      </c>
      <c r="K698" s="336">
        <f>J698/I698*100</f>
        <v>0</v>
      </c>
    </row>
    <row r="699" spans="1:11" ht="15">
      <c r="A699" s="58"/>
      <c r="B699" s="59"/>
      <c r="C699" s="59"/>
      <c r="D699" s="57"/>
      <c r="E699" s="60"/>
      <c r="F699" s="26">
        <f t="shared" si="46"/>
        <v>684</v>
      </c>
      <c r="G699" s="77" t="s">
        <v>711</v>
      </c>
      <c r="H699" s="31">
        <v>0</v>
      </c>
      <c r="I699" s="31">
        <f>0+0+0+0+0+0+0+102500</f>
        <v>102500</v>
      </c>
      <c r="J699" s="150">
        <v>102499.1</v>
      </c>
      <c r="K699" s="336">
        <f>J699/I699*100</f>
        <v>99.99912195121952</v>
      </c>
    </row>
    <row r="700" spans="1:11" ht="15">
      <c r="A700" s="58"/>
      <c r="B700" s="59"/>
      <c r="C700" s="59"/>
      <c r="D700" s="57"/>
      <c r="E700" s="60"/>
      <c r="F700" s="26">
        <f t="shared" si="46"/>
        <v>685</v>
      </c>
      <c r="G700" s="77" t="s">
        <v>712</v>
      </c>
      <c r="H700" s="31">
        <v>200000</v>
      </c>
      <c r="I700" s="31">
        <f>200000-100000</f>
        <v>100000</v>
      </c>
      <c r="J700" s="150">
        <v>98010</v>
      </c>
      <c r="K700" s="336">
        <f>J700/I700*100</f>
        <v>98.00999999999999</v>
      </c>
    </row>
    <row r="701" spans="1:11" ht="15">
      <c r="A701" s="58"/>
      <c r="B701" s="59"/>
      <c r="C701" s="59"/>
      <c r="D701" s="57"/>
      <c r="E701" s="60"/>
      <c r="F701" s="26">
        <f t="shared" si="46"/>
        <v>686</v>
      </c>
      <c r="G701" s="148"/>
      <c r="H701" s="98"/>
      <c r="I701" s="98"/>
      <c r="J701" s="158"/>
      <c r="K701" s="337"/>
    </row>
    <row r="702" spans="1:11" ht="15">
      <c r="A702" s="58"/>
      <c r="B702" s="91"/>
      <c r="C702" s="91"/>
      <c r="D702" s="57"/>
      <c r="E702" s="60"/>
      <c r="F702" s="26">
        <f t="shared" si="46"/>
        <v>687</v>
      </c>
      <c r="G702" s="68" t="s">
        <v>713</v>
      </c>
      <c r="H702" s="69">
        <f>H703</f>
        <v>3000</v>
      </c>
      <c r="I702" s="69">
        <f>I703</f>
        <v>3000</v>
      </c>
      <c r="J702" s="70">
        <f>J703</f>
        <v>0</v>
      </c>
      <c r="K702" s="216">
        <f>J702/I702*100</f>
        <v>0</v>
      </c>
    </row>
    <row r="703" spans="1:11" ht="15">
      <c r="A703" s="33"/>
      <c r="B703" s="91"/>
      <c r="C703" s="91"/>
      <c r="D703" s="34"/>
      <c r="E703" s="34"/>
      <c r="F703" s="26">
        <f t="shared" si="46"/>
        <v>688</v>
      </c>
      <c r="G703" s="77" t="s">
        <v>714</v>
      </c>
      <c r="H703" s="23">
        <v>3000</v>
      </c>
      <c r="I703" s="23">
        <v>3000</v>
      </c>
      <c r="J703" s="150">
        <v>0</v>
      </c>
      <c r="K703" s="336">
        <f>J703/I703*100</f>
        <v>0</v>
      </c>
    </row>
    <row r="704" spans="1:11" ht="15">
      <c r="A704" s="33"/>
      <c r="B704" s="91"/>
      <c r="C704" s="91"/>
      <c r="D704" s="34"/>
      <c r="E704" s="34"/>
      <c r="F704" s="26">
        <f t="shared" si="46"/>
        <v>689</v>
      </c>
      <c r="G704" s="77"/>
      <c r="H704" s="98"/>
      <c r="I704" s="98"/>
      <c r="J704" s="79"/>
      <c r="K704" s="337"/>
    </row>
    <row r="705" spans="1:11" ht="15">
      <c r="A705" s="36"/>
      <c r="B705" s="91"/>
      <c r="C705" s="91"/>
      <c r="D705" s="91"/>
      <c r="E705" s="91"/>
      <c r="F705" s="26">
        <f t="shared" si="46"/>
        <v>690</v>
      </c>
      <c r="G705" s="68" t="s">
        <v>715</v>
      </c>
      <c r="H705" s="69">
        <f>SUM(H706:H709)</f>
        <v>3065000</v>
      </c>
      <c r="I705" s="69">
        <f>SUM(I706:I709)</f>
        <v>3165000</v>
      </c>
      <c r="J705" s="70">
        <f>SUM(J706:J709)</f>
        <v>3103511.6</v>
      </c>
      <c r="K705" s="216">
        <f>J705/I705*100</f>
        <v>98.05723854660347</v>
      </c>
    </row>
    <row r="706" spans="1:11" ht="15">
      <c r="A706" s="36"/>
      <c r="B706" s="91"/>
      <c r="C706" s="91"/>
      <c r="D706" s="91"/>
      <c r="E706" s="91"/>
      <c r="F706" s="26">
        <f t="shared" si="46"/>
        <v>691</v>
      </c>
      <c r="G706" s="128" t="s">
        <v>716</v>
      </c>
      <c r="H706" s="31">
        <v>10000</v>
      </c>
      <c r="I706" s="31">
        <v>10000</v>
      </c>
      <c r="J706" s="73">
        <v>0</v>
      </c>
      <c r="K706" s="336">
        <f>J706/I706*100</f>
        <v>0</v>
      </c>
    </row>
    <row r="707" spans="1:11" ht="15">
      <c r="A707" s="36"/>
      <c r="B707" s="91"/>
      <c r="C707" s="91"/>
      <c r="D707" s="91"/>
      <c r="E707" s="91"/>
      <c r="F707" s="26">
        <f t="shared" si="46"/>
        <v>692</v>
      </c>
      <c r="G707" s="128" t="s">
        <v>717</v>
      </c>
      <c r="H707" s="31">
        <v>5000</v>
      </c>
      <c r="I707" s="31">
        <v>5000</v>
      </c>
      <c r="J707" s="73">
        <v>0</v>
      </c>
      <c r="K707" s="336">
        <f>J707/I707*100</f>
        <v>0</v>
      </c>
    </row>
    <row r="708" spans="1:11" ht="15">
      <c r="A708" s="65"/>
      <c r="B708" s="133"/>
      <c r="C708" s="133"/>
      <c r="D708" s="134"/>
      <c r="E708" s="134"/>
      <c r="F708" s="26">
        <f t="shared" si="46"/>
        <v>693</v>
      </c>
      <c r="G708" s="77" t="s">
        <v>718</v>
      </c>
      <c r="H708" s="31">
        <v>950000</v>
      </c>
      <c r="I708" s="31">
        <v>950000</v>
      </c>
      <c r="J708" s="150">
        <v>947594.5</v>
      </c>
      <c r="K708" s="336">
        <f>J708/I708*100</f>
        <v>99.7467894736842</v>
      </c>
    </row>
    <row r="709" spans="1:11" ht="15">
      <c r="A709" s="33"/>
      <c r="B709" s="91"/>
      <c r="C709" s="91"/>
      <c r="D709" s="34"/>
      <c r="E709" s="34"/>
      <c r="F709" s="26">
        <f t="shared" si="46"/>
        <v>694</v>
      </c>
      <c r="G709" s="77" t="s">
        <v>719</v>
      </c>
      <c r="H709" s="31">
        <v>2100000</v>
      </c>
      <c r="I709" s="31">
        <f>2100000+0+100000</f>
        <v>2200000</v>
      </c>
      <c r="J709" s="150">
        <v>2155917.1</v>
      </c>
      <c r="K709" s="336">
        <f>J709/I709*100</f>
        <v>97.99623181818183</v>
      </c>
    </row>
    <row r="710" spans="1:11" ht="15">
      <c r="A710" s="33"/>
      <c r="B710" s="91"/>
      <c r="C710" s="91"/>
      <c r="D710" s="34"/>
      <c r="E710" s="34"/>
      <c r="F710" s="26">
        <f t="shared" si="46"/>
        <v>695</v>
      </c>
      <c r="G710" s="94"/>
      <c r="H710" s="186"/>
      <c r="I710" s="186"/>
      <c r="J710" s="158" t="s">
        <v>20</v>
      </c>
      <c r="K710" s="337"/>
    </row>
    <row r="711" spans="1:11" ht="15">
      <c r="A711" s="36"/>
      <c r="B711" s="91"/>
      <c r="C711" s="91"/>
      <c r="D711" s="91"/>
      <c r="E711" s="91"/>
      <c r="F711" s="26">
        <f t="shared" si="46"/>
        <v>696</v>
      </c>
      <c r="G711" s="68" t="s">
        <v>720</v>
      </c>
      <c r="H711" s="69">
        <f>SUM(H712:H714)</f>
        <v>246000</v>
      </c>
      <c r="I711" s="69">
        <f>SUM(I712:I714)</f>
        <v>246000</v>
      </c>
      <c r="J711" s="63">
        <f>SUM(J712:J714)</f>
        <v>118526</v>
      </c>
      <c r="K711" s="216">
        <f>J711/I711*100</f>
        <v>48.181300813008136</v>
      </c>
    </row>
    <row r="712" spans="1:11" ht="15">
      <c r="A712" s="172"/>
      <c r="B712" s="66"/>
      <c r="C712" s="66"/>
      <c r="D712" s="327"/>
      <c r="E712" s="327"/>
      <c r="F712" s="26">
        <f t="shared" si="46"/>
        <v>697</v>
      </c>
      <c r="G712" s="72" t="s">
        <v>722</v>
      </c>
      <c r="H712" s="31">
        <v>96000</v>
      </c>
      <c r="I712" s="31">
        <v>96000</v>
      </c>
      <c r="J712" s="150">
        <v>96000</v>
      </c>
      <c r="K712" s="336">
        <f>J712/I712*100</f>
        <v>100</v>
      </c>
    </row>
    <row r="713" spans="1:11" ht="15">
      <c r="A713" s="33"/>
      <c r="B713" s="91"/>
      <c r="C713" s="91"/>
      <c r="D713" s="34"/>
      <c r="E713" s="34"/>
      <c r="F713" s="26">
        <f t="shared" si="46"/>
        <v>698</v>
      </c>
      <c r="G713" s="77" t="s">
        <v>724</v>
      </c>
      <c r="H713" s="31">
        <v>50000</v>
      </c>
      <c r="I713" s="31">
        <v>50000</v>
      </c>
      <c r="J713" s="166">
        <v>3921</v>
      </c>
      <c r="K713" s="336">
        <f>J713/I713*100</f>
        <v>7.8420000000000005</v>
      </c>
    </row>
    <row r="714" spans="1:11" ht="15">
      <c r="A714" s="33"/>
      <c r="B714" s="91"/>
      <c r="C714" s="91"/>
      <c r="D714" s="34"/>
      <c r="E714" s="34"/>
      <c r="F714" s="26">
        <f t="shared" si="46"/>
        <v>699</v>
      </c>
      <c r="G714" s="77" t="s">
        <v>726</v>
      </c>
      <c r="H714" s="31">
        <v>100000</v>
      </c>
      <c r="I714" s="31">
        <v>100000</v>
      </c>
      <c r="J714" s="150">
        <v>18605</v>
      </c>
      <c r="K714" s="336">
        <f>J714/I714*100</f>
        <v>18.605</v>
      </c>
    </row>
    <row r="715" spans="1:11" ht="15">
      <c r="A715" s="36"/>
      <c r="B715" s="91"/>
      <c r="C715" s="91"/>
      <c r="D715" s="34"/>
      <c r="E715" s="34"/>
      <c r="F715" s="26">
        <f t="shared" si="46"/>
        <v>700</v>
      </c>
      <c r="G715" s="77"/>
      <c r="H715" s="186"/>
      <c r="I715" s="186"/>
      <c r="J715" s="158"/>
      <c r="K715" s="337"/>
    </row>
    <row r="716" spans="1:11" ht="15">
      <c r="A716" s="171" t="s">
        <v>721</v>
      </c>
      <c r="B716" s="62">
        <f>SUM(B717:B718)</f>
        <v>510000</v>
      </c>
      <c r="C716" s="62">
        <f>SUM(C717:C718)</f>
        <v>510000</v>
      </c>
      <c r="D716" s="63">
        <f>SUM(D717:D718)</f>
        <v>495827.17</v>
      </c>
      <c r="E716" s="63">
        <f>D716/C716*100</f>
        <v>97.2210137254902</v>
      </c>
      <c r="F716" s="26">
        <f t="shared" si="46"/>
        <v>701</v>
      </c>
      <c r="G716" s="68" t="s">
        <v>721</v>
      </c>
      <c r="H716" s="71">
        <f>SUM(H717:H717)</f>
        <v>0</v>
      </c>
      <c r="I716" s="71">
        <f>SUM(I717:I717)</f>
        <v>169400</v>
      </c>
      <c r="J716" s="209">
        <f>SUM(J717:J717)</f>
        <v>0</v>
      </c>
      <c r="K716" s="216">
        <f>J716/I716*100</f>
        <v>0</v>
      </c>
    </row>
    <row r="717" spans="1:11" ht="15">
      <c r="A717" s="135" t="s">
        <v>723</v>
      </c>
      <c r="B717" s="23">
        <v>10000</v>
      </c>
      <c r="C717" s="23">
        <v>10000</v>
      </c>
      <c r="D717" s="25">
        <v>0</v>
      </c>
      <c r="E717" s="25">
        <f>D717/C717*100</f>
        <v>0</v>
      </c>
      <c r="F717" s="26">
        <f t="shared" si="46"/>
        <v>702</v>
      </c>
      <c r="G717" s="128" t="s">
        <v>727</v>
      </c>
      <c r="H717" s="31">
        <v>0</v>
      </c>
      <c r="I717" s="31">
        <f>0+100000+69400</f>
        <v>169400</v>
      </c>
      <c r="J717" s="150">
        <v>0</v>
      </c>
      <c r="K717" s="336">
        <f>J717/I717*100</f>
        <v>0</v>
      </c>
    </row>
    <row r="718" spans="1:11" ht="15">
      <c r="A718" s="135" t="s">
        <v>725</v>
      </c>
      <c r="B718" s="23">
        <v>500000</v>
      </c>
      <c r="C718" s="23">
        <v>500000</v>
      </c>
      <c r="D718" s="25">
        <v>495827.17</v>
      </c>
      <c r="E718" s="25">
        <f>D718/C718*100</f>
        <v>99.16543399999999</v>
      </c>
      <c r="F718" s="26">
        <f t="shared" si="46"/>
        <v>703</v>
      </c>
      <c r="G718" s="77"/>
      <c r="H718" s="186"/>
      <c r="I718" s="186"/>
      <c r="J718" s="158"/>
      <c r="K718" s="337"/>
    </row>
    <row r="719" spans="1:11" ht="15">
      <c r="A719" s="244"/>
      <c r="B719" s="91"/>
      <c r="C719" s="91"/>
      <c r="D719" s="34"/>
      <c r="E719" s="34"/>
      <c r="F719" s="26">
        <f t="shared" si="46"/>
        <v>704</v>
      </c>
      <c r="G719" s="68" t="s">
        <v>728</v>
      </c>
      <c r="H719" s="69">
        <f>SUM(H720:H720)</f>
        <v>40800</v>
      </c>
      <c r="I719" s="69">
        <f>SUM(I720:I720)</f>
        <v>40800</v>
      </c>
      <c r="J719" s="63">
        <f>SUM(J720:J720)</f>
        <v>40735</v>
      </c>
      <c r="K719" s="216">
        <f>J719/I719*100</f>
        <v>99.8406862745098</v>
      </c>
    </row>
    <row r="720" spans="1:11" ht="15">
      <c r="A720" s="36"/>
      <c r="B720" s="91"/>
      <c r="C720" s="91"/>
      <c r="D720" s="34"/>
      <c r="E720" s="34"/>
      <c r="F720" s="26">
        <f t="shared" si="46"/>
        <v>705</v>
      </c>
      <c r="G720" s="77" t="s">
        <v>729</v>
      </c>
      <c r="H720" s="152">
        <v>40800</v>
      </c>
      <c r="I720" s="152">
        <v>40800</v>
      </c>
      <c r="J720" s="150">
        <v>40735</v>
      </c>
      <c r="K720" s="336">
        <f>J720/I720*100</f>
        <v>99.8406862745098</v>
      </c>
    </row>
    <row r="721" spans="1:11" ht="15">
      <c r="A721" s="36"/>
      <c r="B721" s="91"/>
      <c r="C721" s="91"/>
      <c r="D721" s="34"/>
      <c r="E721" s="34"/>
      <c r="F721" s="26">
        <f t="shared" si="46"/>
        <v>706</v>
      </c>
      <c r="G721" s="68"/>
      <c r="H721" s="89"/>
      <c r="I721" s="89"/>
      <c r="J721" s="158"/>
      <c r="K721" s="337"/>
    </row>
    <row r="722" spans="1:11" ht="15">
      <c r="A722" s="36"/>
      <c r="B722" s="91"/>
      <c r="C722" s="91"/>
      <c r="D722" s="34"/>
      <c r="E722" s="34"/>
      <c r="F722" s="26">
        <f t="shared" si="46"/>
        <v>707</v>
      </c>
      <c r="G722" s="68" t="s">
        <v>730</v>
      </c>
      <c r="H722" s="69">
        <f>SUM(H723:H725)</f>
        <v>27000</v>
      </c>
      <c r="I722" s="69">
        <f>SUM(I723:I725)</f>
        <v>69400</v>
      </c>
      <c r="J722" s="70">
        <f>SUM(J723:J725)</f>
        <v>27000</v>
      </c>
      <c r="K722" s="216">
        <f>J722/I722*100</f>
        <v>38.90489913544668</v>
      </c>
    </row>
    <row r="723" spans="1:11" ht="15">
      <c r="A723" s="36"/>
      <c r="B723" s="91"/>
      <c r="C723" s="91"/>
      <c r="D723" s="34"/>
      <c r="E723" s="34"/>
      <c r="F723" s="26">
        <f t="shared" si="46"/>
        <v>708</v>
      </c>
      <c r="G723" s="77" t="s">
        <v>731</v>
      </c>
      <c r="H723" s="31">
        <v>27000</v>
      </c>
      <c r="I723" s="31">
        <f>27000+0+0+0+0+0+0-27000</f>
        <v>0</v>
      </c>
      <c r="J723" s="150">
        <v>0</v>
      </c>
      <c r="K723" s="336" t="e">
        <f>J723/I723*100</f>
        <v>#DIV/0!</v>
      </c>
    </row>
    <row r="724" spans="1:11" ht="15">
      <c r="A724" s="36"/>
      <c r="B724" s="91"/>
      <c r="C724" s="91"/>
      <c r="D724" s="34"/>
      <c r="E724" s="34"/>
      <c r="F724" s="26">
        <f aca="true" t="shared" si="47" ref="F724:F787">F723+1</f>
        <v>709</v>
      </c>
      <c r="G724" s="77" t="s">
        <v>732</v>
      </c>
      <c r="H724" s="31">
        <v>0</v>
      </c>
      <c r="I724" s="31">
        <f>0+0+0+0+0+0+0+27000</f>
        <v>27000</v>
      </c>
      <c r="J724" s="150">
        <v>27000</v>
      </c>
      <c r="K724" s="336">
        <f>J724/I724*100</f>
        <v>100</v>
      </c>
    </row>
    <row r="725" spans="1:11" ht="15">
      <c r="A725" s="36"/>
      <c r="B725" s="91"/>
      <c r="C725" s="91"/>
      <c r="D725" s="34"/>
      <c r="E725" s="34"/>
      <c r="F725" s="26">
        <f t="shared" si="47"/>
        <v>710</v>
      </c>
      <c r="G725" s="77" t="s">
        <v>733</v>
      </c>
      <c r="H725" s="31">
        <v>0</v>
      </c>
      <c r="I725" s="31">
        <f>0+42400</f>
        <v>42400</v>
      </c>
      <c r="J725" s="150">
        <v>0</v>
      </c>
      <c r="K725" s="336">
        <f>J725/I725*100</f>
        <v>0</v>
      </c>
    </row>
    <row r="726" spans="1:11" ht="15">
      <c r="A726" s="36"/>
      <c r="B726" s="91"/>
      <c r="C726" s="91"/>
      <c r="D726" s="34"/>
      <c r="E726" s="34"/>
      <c r="F726" s="26">
        <f t="shared" si="47"/>
        <v>711</v>
      </c>
      <c r="G726" s="77"/>
      <c r="H726" s="186"/>
      <c r="I726" s="186"/>
      <c r="J726" s="158"/>
      <c r="K726" s="337"/>
    </row>
    <row r="727" spans="1:11" ht="15">
      <c r="A727" s="36"/>
      <c r="B727" s="177"/>
      <c r="C727" s="177"/>
      <c r="D727" s="34"/>
      <c r="E727" s="34"/>
      <c r="F727" s="26">
        <f t="shared" si="47"/>
        <v>712</v>
      </c>
      <c r="G727" s="191" t="s">
        <v>734</v>
      </c>
      <c r="H727" s="62">
        <f>SUM(H728:H735)</f>
        <v>201800</v>
      </c>
      <c r="I727" s="62">
        <f>SUM(I728:I735)</f>
        <v>338300</v>
      </c>
      <c r="J727" s="63">
        <f>SUM(J728:J735)</f>
        <v>217811.22999999998</v>
      </c>
      <c r="K727" s="216">
        <f aca="true" t="shared" si="48" ref="K727:K735">J727/I727*100</f>
        <v>64.38404670410878</v>
      </c>
    </row>
    <row r="728" spans="1:11" ht="15">
      <c r="A728" s="36"/>
      <c r="B728" s="177"/>
      <c r="C728" s="177"/>
      <c r="D728" s="34"/>
      <c r="E728" s="34"/>
      <c r="F728" s="26">
        <f t="shared" si="47"/>
        <v>713</v>
      </c>
      <c r="G728" s="128" t="s">
        <v>735</v>
      </c>
      <c r="H728" s="31">
        <v>40000</v>
      </c>
      <c r="I728" s="31">
        <f>40000+0+0-18300+18300</f>
        <v>40000</v>
      </c>
      <c r="J728" s="24">
        <v>10570.63</v>
      </c>
      <c r="K728" s="336">
        <f t="shared" si="48"/>
        <v>26.426574999999996</v>
      </c>
    </row>
    <row r="729" spans="1:11" ht="15">
      <c r="A729" s="36"/>
      <c r="B729" s="177"/>
      <c r="C729" s="177"/>
      <c r="D729" s="34"/>
      <c r="E729" s="34"/>
      <c r="F729" s="26">
        <f t="shared" si="47"/>
        <v>714</v>
      </c>
      <c r="G729" s="128" t="s">
        <v>736</v>
      </c>
      <c r="H729" s="31">
        <v>0</v>
      </c>
      <c r="I729" s="31">
        <v>18200</v>
      </c>
      <c r="J729" s="73">
        <v>15076.6</v>
      </c>
      <c r="K729" s="336">
        <f t="shared" si="48"/>
        <v>82.83846153846154</v>
      </c>
    </row>
    <row r="730" spans="1:11" ht="15">
      <c r="A730" s="217"/>
      <c r="B730" s="91"/>
      <c r="C730" s="91"/>
      <c r="D730" s="323"/>
      <c r="E730" s="323"/>
      <c r="F730" s="26">
        <f t="shared" si="47"/>
        <v>715</v>
      </c>
      <c r="G730" s="72" t="s">
        <v>737</v>
      </c>
      <c r="H730" s="31">
        <v>113000</v>
      </c>
      <c r="I730" s="31">
        <f>113000+0+0-113000</f>
        <v>0</v>
      </c>
      <c r="J730" s="73">
        <v>0</v>
      </c>
      <c r="K730" s="336" t="e">
        <f t="shared" si="48"/>
        <v>#DIV/0!</v>
      </c>
    </row>
    <row r="731" spans="1:11" ht="15">
      <c r="A731" s="217"/>
      <c r="B731" s="91"/>
      <c r="C731" s="91"/>
      <c r="D731" s="323"/>
      <c r="E731" s="323"/>
      <c r="F731" s="26">
        <f t="shared" si="47"/>
        <v>716</v>
      </c>
      <c r="G731" s="128" t="s">
        <v>738</v>
      </c>
      <c r="H731" s="31">
        <v>0</v>
      </c>
      <c r="I731" s="31">
        <v>100000</v>
      </c>
      <c r="J731" s="73">
        <v>61000</v>
      </c>
      <c r="K731" s="336">
        <f t="shared" si="48"/>
        <v>61</v>
      </c>
    </row>
    <row r="732" spans="1:11" ht="15">
      <c r="A732" s="217"/>
      <c r="B732" s="91"/>
      <c r="C732" s="91"/>
      <c r="D732" s="323"/>
      <c r="E732" s="323"/>
      <c r="F732" s="26">
        <f t="shared" si="47"/>
        <v>717</v>
      </c>
      <c r="G732" s="128" t="s">
        <v>739</v>
      </c>
      <c r="H732" s="31">
        <v>0</v>
      </c>
      <c r="I732" s="31">
        <f>0+0+0+13200</f>
        <v>13200</v>
      </c>
      <c r="J732" s="73">
        <v>13116.4</v>
      </c>
      <c r="K732" s="336">
        <f t="shared" si="48"/>
        <v>99.36666666666666</v>
      </c>
    </row>
    <row r="733" spans="1:11" ht="15">
      <c r="A733" s="217"/>
      <c r="B733" s="91"/>
      <c r="C733" s="91"/>
      <c r="D733" s="323"/>
      <c r="E733" s="323"/>
      <c r="F733" s="26">
        <f t="shared" si="47"/>
        <v>718</v>
      </c>
      <c r="G733" s="128" t="s">
        <v>740</v>
      </c>
      <c r="H733" s="31">
        <v>0</v>
      </c>
      <c r="I733" s="31">
        <f>0+0+0+111500</f>
        <v>111500</v>
      </c>
      <c r="J733" s="73">
        <v>111489.4</v>
      </c>
      <c r="K733" s="336">
        <f t="shared" si="48"/>
        <v>99.9904932735426</v>
      </c>
    </row>
    <row r="734" spans="1:11" ht="15">
      <c r="A734" s="217"/>
      <c r="B734" s="91"/>
      <c r="C734" s="91"/>
      <c r="D734" s="323"/>
      <c r="E734" s="323"/>
      <c r="F734" s="26">
        <f t="shared" si="47"/>
        <v>719</v>
      </c>
      <c r="G734" s="128" t="s">
        <v>741</v>
      </c>
      <c r="H734" s="31">
        <v>0</v>
      </c>
      <c r="I734" s="31">
        <f>0+0+0+6600</f>
        <v>6600</v>
      </c>
      <c r="J734" s="73">
        <v>6558.2</v>
      </c>
      <c r="K734" s="336">
        <f t="shared" si="48"/>
        <v>99.36666666666666</v>
      </c>
    </row>
    <row r="735" spans="1:11" ht="15">
      <c r="A735" s="36"/>
      <c r="B735" s="91"/>
      <c r="C735" s="91"/>
      <c r="D735" s="34"/>
      <c r="E735" s="34"/>
      <c r="F735" s="26">
        <f t="shared" si="47"/>
        <v>720</v>
      </c>
      <c r="G735" s="72" t="s">
        <v>742</v>
      </c>
      <c r="H735" s="31">
        <v>48800</v>
      </c>
      <c r="I735" s="31">
        <v>48800</v>
      </c>
      <c r="J735" s="73">
        <v>0</v>
      </c>
      <c r="K735" s="336">
        <f t="shared" si="48"/>
        <v>0</v>
      </c>
    </row>
    <row r="736" spans="1:11" ht="15">
      <c r="A736" s="36"/>
      <c r="B736" s="91"/>
      <c r="C736" s="91"/>
      <c r="D736" s="34"/>
      <c r="E736" s="34"/>
      <c r="F736" s="26">
        <f t="shared" si="47"/>
        <v>721</v>
      </c>
      <c r="G736" s="77"/>
      <c r="H736" s="98"/>
      <c r="I736" s="98"/>
      <c r="J736" s="158"/>
      <c r="K736" s="337"/>
    </row>
    <row r="737" spans="1:11" ht="15">
      <c r="A737" s="68" t="s">
        <v>743</v>
      </c>
      <c r="B737" s="62">
        <f>SUM(B738:B739)</f>
        <v>450000</v>
      </c>
      <c r="C737" s="62">
        <f>SUM(C738:C739)</f>
        <v>450000</v>
      </c>
      <c r="D737" s="63">
        <f>SUM(D738:D739)</f>
        <v>182632</v>
      </c>
      <c r="E737" s="63">
        <f>D737/C737*100</f>
        <v>40.584888888888884</v>
      </c>
      <c r="F737" s="26">
        <f t="shared" si="47"/>
        <v>722</v>
      </c>
      <c r="G737" s="68" t="s">
        <v>743</v>
      </c>
      <c r="H737" s="69">
        <f>SUM(H738:H764)</f>
        <v>850000</v>
      </c>
      <c r="I737" s="69">
        <f>SUM(I738:I764)</f>
        <v>8347500</v>
      </c>
      <c r="J737" s="70">
        <f>SUM(J738:J764)</f>
        <v>8252961.94</v>
      </c>
      <c r="K737" s="216">
        <f aca="true" t="shared" si="49" ref="K737:K762">J737/I737*100</f>
        <v>98.86746858340821</v>
      </c>
    </row>
    <row r="738" spans="1:11" ht="15">
      <c r="A738" s="135" t="s">
        <v>744</v>
      </c>
      <c r="B738" s="23">
        <v>450000</v>
      </c>
      <c r="C738" s="23">
        <v>450000</v>
      </c>
      <c r="D738" s="25">
        <v>182632</v>
      </c>
      <c r="E738" s="25">
        <f>D738/C738*100</f>
        <v>40.584888888888884</v>
      </c>
      <c r="F738" s="26">
        <f t="shared" si="47"/>
        <v>723</v>
      </c>
      <c r="G738" s="77" t="s">
        <v>745</v>
      </c>
      <c r="H738" s="31">
        <v>300000</v>
      </c>
      <c r="I738" s="31">
        <f>300000-250000</f>
        <v>50000</v>
      </c>
      <c r="J738" s="166">
        <v>45122</v>
      </c>
      <c r="K738" s="336">
        <f t="shared" si="49"/>
        <v>90.244</v>
      </c>
    </row>
    <row r="739" spans="1:11" ht="15">
      <c r="A739" s="145"/>
      <c r="B739" s="138"/>
      <c r="C739" s="138"/>
      <c r="D739" s="130"/>
      <c r="E739" s="130"/>
      <c r="F739" s="26">
        <f t="shared" si="47"/>
        <v>724</v>
      </c>
      <c r="G739" s="77" t="s">
        <v>746</v>
      </c>
      <c r="H739" s="31">
        <v>50000</v>
      </c>
      <c r="I739" s="31">
        <f>50000+0+50000</f>
        <v>100000</v>
      </c>
      <c r="J739" s="166">
        <v>80608.67</v>
      </c>
      <c r="K739" s="336">
        <f t="shared" si="49"/>
        <v>80.60866999999999</v>
      </c>
    </row>
    <row r="740" spans="1:11" ht="15">
      <c r="A740" s="33"/>
      <c r="B740" s="91"/>
      <c r="C740" s="91"/>
      <c r="D740" s="34"/>
      <c r="E740" s="34"/>
      <c r="F740" s="26">
        <f t="shared" si="47"/>
        <v>725</v>
      </c>
      <c r="G740" s="77" t="s">
        <v>747</v>
      </c>
      <c r="H740" s="31">
        <v>0</v>
      </c>
      <c r="I740" s="31">
        <v>27200</v>
      </c>
      <c r="J740" s="166">
        <v>26268.1</v>
      </c>
      <c r="K740" s="336">
        <f t="shared" si="49"/>
        <v>96.57389705882352</v>
      </c>
    </row>
    <row r="741" spans="1:11" ht="15">
      <c r="A741" s="33"/>
      <c r="B741" s="91"/>
      <c r="C741" s="91"/>
      <c r="D741" s="34"/>
      <c r="E741" s="34"/>
      <c r="F741" s="26">
        <f t="shared" si="47"/>
        <v>726</v>
      </c>
      <c r="G741" s="77" t="s">
        <v>748</v>
      </c>
      <c r="H741" s="31">
        <v>0</v>
      </c>
      <c r="I741" s="31">
        <v>12800</v>
      </c>
      <c r="J741" s="166">
        <v>484</v>
      </c>
      <c r="K741" s="336">
        <f t="shared" si="49"/>
        <v>3.78125</v>
      </c>
    </row>
    <row r="742" spans="1:11" ht="15">
      <c r="A742" s="33"/>
      <c r="B742" s="91"/>
      <c r="C742" s="91"/>
      <c r="D742" s="34"/>
      <c r="E742" s="34"/>
      <c r="F742" s="26">
        <f t="shared" si="47"/>
        <v>727</v>
      </c>
      <c r="G742" s="77" t="s">
        <v>1097</v>
      </c>
      <c r="H742" s="31">
        <v>0</v>
      </c>
      <c r="I742" s="31">
        <v>286500</v>
      </c>
      <c r="J742" s="245">
        <v>286428.78</v>
      </c>
      <c r="K742" s="336">
        <f>J742/I742*100</f>
        <v>99.97514136125656</v>
      </c>
    </row>
    <row r="743" spans="1:11" ht="15">
      <c r="A743" s="33"/>
      <c r="B743" s="91"/>
      <c r="C743" s="91"/>
      <c r="D743" s="34"/>
      <c r="E743" s="34"/>
      <c r="F743" s="26">
        <f t="shared" si="47"/>
        <v>728</v>
      </c>
      <c r="G743" s="77" t="s">
        <v>1098</v>
      </c>
      <c r="H743" s="31">
        <v>0</v>
      </c>
      <c r="I743" s="31">
        <v>16000</v>
      </c>
      <c r="J743" s="245">
        <v>15914.37</v>
      </c>
      <c r="K743" s="336">
        <f>J743/I743*100</f>
        <v>99.46481250000001</v>
      </c>
    </row>
    <row r="744" spans="1:11" ht="15">
      <c r="A744" s="33"/>
      <c r="B744" s="91"/>
      <c r="C744" s="91"/>
      <c r="D744" s="34"/>
      <c r="E744" s="34"/>
      <c r="F744" s="26">
        <f t="shared" si="47"/>
        <v>729</v>
      </c>
      <c r="G744" s="77" t="s">
        <v>1100</v>
      </c>
      <c r="H744" s="31">
        <v>0</v>
      </c>
      <c r="I744" s="31">
        <v>7700</v>
      </c>
      <c r="J744" s="245">
        <v>7670.25</v>
      </c>
      <c r="K744" s="336">
        <f>J744/I744*100</f>
        <v>99.61363636363636</v>
      </c>
    </row>
    <row r="745" spans="1:11" ht="15">
      <c r="A745" s="33"/>
      <c r="B745" s="91"/>
      <c r="C745" s="91"/>
      <c r="D745" s="34"/>
      <c r="E745" s="34"/>
      <c r="F745" s="26">
        <f t="shared" si="47"/>
        <v>730</v>
      </c>
      <c r="G745" s="77" t="s">
        <v>749</v>
      </c>
      <c r="H745" s="31">
        <v>0</v>
      </c>
      <c r="I745" s="31">
        <v>100</v>
      </c>
      <c r="J745" s="245">
        <v>29.31</v>
      </c>
      <c r="K745" s="336">
        <f t="shared" si="49"/>
        <v>29.31</v>
      </c>
    </row>
    <row r="746" spans="1:11" ht="15">
      <c r="A746" s="33"/>
      <c r="B746" s="91"/>
      <c r="C746" s="91"/>
      <c r="D746" s="34"/>
      <c r="E746" s="34"/>
      <c r="F746" s="26">
        <f t="shared" si="47"/>
        <v>731</v>
      </c>
      <c r="G746" s="77" t="s">
        <v>750</v>
      </c>
      <c r="H746" s="31">
        <v>0</v>
      </c>
      <c r="I746" s="31">
        <v>1800</v>
      </c>
      <c r="J746" s="245">
        <v>29.31</v>
      </c>
      <c r="K746" s="336">
        <f t="shared" si="49"/>
        <v>1.6283333333333334</v>
      </c>
    </row>
    <row r="747" spans="1:11" ht="15">
      <c r="A747" s="33"/>
      <c r="B747" s="91"/>
      <c r="C747" s="91"/>
      <c r="D747" s="34"/>
      <c r="E747" s="34"/>
      <c r="F747" s="26">
        <f t="shared" si="47"/>
        <v>732</v>
      </c>
      <c r="G747" s="77" t="s">
        <v>751</v>
      </c>
      <c r="H747" s="31">
        <v>0</v>
      </c>
      <c r="I747" s="31">
        <v>100</v>
      </c>
      <c r="J747" s="245">
        <v>29.31</v>
      </c>
      <c r="K747" s="336">
        <f t="shared" si="49"/>
        <v>29.31</v>
      </c>
    </row>
    <row r="748" spans="1:11" ht="15">
      <c r="A748" s="33"/>
      <c r="B748" s="91"/>
      <c r="C748" s="91"/>
      <c r="D748" s="34"/>
      <c r="E748" s="34"/>
      <c r="F748" s="26">
        <f t="shared" si="47"/>
        <v>733</v>
      </c>
      <c r="G748" s="77" t="s">
        <v>752</v>
      </c>
      <c r="H748" s="31">
        <v>0</v>
      </c>
      <c r="I748" s="31">
        <v>754100</v>
      </c>
      <c r="J748" s="166">
        <v>754054.99</v>
      </c>
      <c r="K748" s="336">
        <f t="shared" si="49"/>
        <v>99.99403129558414</v>
      </c>
    </row>
    <row r="749" spans="1:11" ht="15">
      <c r="A749" s="68" t="s">
        <v>753</v>
      </c>
      <c r="B749" s="62">
        <f>SUM(B750:B752)</f>
        <v>60000</v>
      </c>
      <c r="C749" s="62">
        <f>SUM(C750:C752)</f>
        <v>61000</v>
      </c>
      <c r="D749" s="63">
        <f>SUM(D750:D752)</f>
        <v>22900</v>
      </c>
      <c r="E749" s="63">
        <f>D749/C749*100</f>
        <v>37.540983606557376</v>
      </c>
      <c r="F749" s="26">
        <f t="shared" si="47"/>
        <v>734</v>
      </c>
      <c r="G749" s="128" t="s">
        <v>754</v>
      </c>
      <c r="H749" s="31">
        <v>500000</v>
      </c>
      <c r="I749" s="31">
        <v>691700</v>
      </c>
      <c r="J749" s="166">
        <v>691666.5</v>
      </c>
      <c r="K749" s="336">
        <f t="shared" si="49"/>
        <v>99.99515685991037</v>
      </c>
    </row>
    <row r="750" spans="1:11" ht="15">
      <c r="A750" s="135" t="s">
        <v>755</v>
      </c>
      <c r="B750" s="23">
        <v>10000</v>
      </c>
      <c r="C750" s="23">
        <v>10000</v>
      </c>
      <c r="D750" s="25">
        <v>0</v>
      </c>
      <c r="E750" s="25">
        <f>D750/C750*100</f>
        <v>0</v>
      </c>
      <c r="F750" s="26">
        <f t="shared" si="47"/>
        <v>735</v>
      </c>
      <c r="G750" s="77" t="s">
        <v>756</v>
      </c>
      <c r="H750" s="31"/>
      <c r="I750" s="31">
        <v>100</v>
      </c>
      <c r="J750" s="245">
        <v>82.08</v>
      </c>
      <c r="K750" s="336">
        <f t="shared" si="49"/>
        <v>82.08</v>
      </c>
    </row>
    <row r="751" spans="1:11" ht="15">
      <c r="A751" s="135" t="s">
        <v>757</v>
      </c>
      <c r="B751" s="23">
        <v>50000</v>
      </c>
      <c r="C751" s="23">
        <v>50000</v>
      </c>
      <c r="D751" s="25">
        <v>21900</v>
      </c>
      <c r="E751" s="25">
        <f>D751/C751*100</f>
        <v>43.8</v>
      </c>
      <c r="F751" s="26">
        <f t="shared" si="47"/>
        <v>736</v>
      </c>
      <c r="G751" s="77" t="s">
        <v>758</v>
      </c>
      <c r="H751" s="31">
        <v>0</v>
      </c>
      <c r="I751" s="31">
        <f>0+0+0+11300</f>
        <v>11300</v>
      </c>
      <c r="J751" s="245">
        <v>82.08</v>
      </c>
      <c r="K751" s="336">
        <f t="shared" si="49"/>
        <v>0.7263716814159292</v>
      </c>
    </row>
    <row r="752" spans="1:11" ht="15">
      <c r="A752" s="135" t="s">
        <v>759</v>
      </c>
      <c r="B752" s="23">
        <v>0</v>
      </c>
      <c r="C752" s="23">
        <f>0+0+0+0+1000</f>
        <v>1000</v>
      </c>
      <c r="D752" s="25">
        <v>1000</v>
      </c>
      <c r="E752" s="25">
        <f>D752/C752*100</f>
        <v>100</v>
      </c>
      <c r="F752" s="26">
        <f t="shared" si="47"/>
        <v>737</v>
      </c>
      <c r="G752" s="77" t="s">
        <v>760</v>
      </c>
      <c r="H752" s="31">
        <v>0</v>
      </c>
      <c r="I752" s="31">
        <v>1800</v>
      </c>
      <c r="J752" s="245">
        <v>82.08</v>
      </c>
      <c r="K752" s="336">
        <f t="shared" si="49"/>
        <v>4.5600000000000005</v>
      </c>
    </row>
    <row r="753" spans="1:11" ht="15">
      <c r="A753" s="33"/>
      <c r="B753" s="91"/>
      <c r="C753" s="91"/>
      <c r="D753" s="34"/>
      <c r="E753" s="34"/>
      <c r="F753" s="26">
        <f t="shared" si="47"/>
        <v>738</v>
      </c>
      <c r="G753" s="77" t="s">
        <v>761</v>
      </c>
      <c r="H753" s="31">
        <v>0</v>
      </c>
      <c r="I753" s="31">
        <v>39700</v>
      </c>
      <c r="J753" s="166">
        <v>39687.11</v>
      </c>
      <c r="K753" s="336">
        <f t="shared" si="49"/>
        <v>99.9675314861461</v>
      </c>
    </row>
    <row r="754" spans="1:11" ht="15">
      <c r="A754" s="33"/>
      <c r="B754" s="91"/>
      <c r="C754" s="91"/>
      <c r="D754" s="34"/>
      <c r="E754" s="34"/>
      <c r="F754" s="26">
        <f t="shared" si="47"/>
        <v>739</v>
      </c>
      <c r="G754" s="128" t="s">
        <v>762</v>
      </c>
      <c r="H754" s="31">
        <v>0</v>
      </c>
      <c r="I754" s="31">
        <v>36500</v>
      </c>
      <c r="J754" s="166">
        <v>36403.5</v>
      </c>
      <c r="K754" s="336">
        <f t="shared" si="49"/>
        <v>99.73561643835616</v>
      </c>
    </row>
    <row r="755" spans="1:11" ht="15">
      <c r="A755" s="33"/>
      <c r="B755" s="91"/>
      <c r="C755" s="91"/>
      <c r="D755" s="34"/>
      <c r="E755" s="34"/>
      <c r="F755" s="26">
        <f t="shared" si="47"/>
        <v>740</v>
      </c>
      <c r="G755" s="77" t="s">
        <v>763</v>
      </c>
      <c r="H755" s="31"/>
      <c r="I755" s="31">
        <v>13300</v>
      </c>
      <c r="J755" s="245">
        <v>5.86</v>
      </c>
      <c r="K755" s="336">
        <f t="shared" si="49"/>
        <v>0.04406015037593985</v>
      </c>
    </row>
    <row r="756" spans="1:11" ht="15">
      <c r="A756" s="33"/>
      <c r="B756" s="91"/>
      <c r="C756" s="91"/>
      <c r="D756" s="34"/>
      <c r="E756" s="34"/>
      <c r="F756" s="26">
        <f t="shared" si="47"/>
        <v>741</v>
      </c>
      <c r="G756" s="77" t="s">
        <v>764</v>
      </c>
      <c r="H756" s="31">
        <v>0</v>
      </c>
      <c r="I756" s="31">
        <f>0+0+0+900</f>
        <v>900</v>
      </c>
      <c r="J756" s="245">
        <v>5.86</v>
      </c>
      <c r="K756" s="336">
        <f t="shared" si="49"/>
        <v>0.6511111111111112</v>
      </c>
    </row>
    <row r="757" spans="1:11" ht="15">
      <c r="A757" s="33"/>
      <c r="B757" s="91"/>
      <c r="C757" s="91"/>
      <c r="D757" s="34"/>
      <c r="E757" s="34"/>
      <c r="F757" s="26">
        <f t="shared" si="47"/>
        <v>742</v>
      </c>
      <c r="G757" s="77" t="s">
        <v>765</v>
      </c>
      <c r="H757" s="31">
        <v>0</v>
      </c>
      <c r="I757" s="31">
        <f>0+0+0+400</f>
        <v>400</v>
      </c>
      <c r="J757" s="245">
        <v>5.86</v>
      </c>
      <c r="K757" s="336">
        <f t="shared" si="49"/>
        <v>1.465</v>
      </c>
    </row>
    <row r="758" spans="1:11" ht="15">
      <c r="A758" s="33"/>
      <c r="B758" s="91"/>
      <c r="C758" s="91"/>
      <c r="D758" s="34"/>
      <c r="E758" s="34"/>
      <c r="F758" s="26">
        <f t="shared" si="47"/>
        <v>743</v>
      </c>
      <c r="G758" s="77" t="s">
        <v>766</v>
      </c>
      <c r="H758" s="31">
        <v>0</v>
      </c>
      <c r="I758" s="31">
        <v>779800</v>
      </c>
      <c r="J758" s="166">
        <v>779798.51</v>
      </c>
      <c r="K758" s="336">
        <f t="shared" si="49"/>
        <v>99.99980892536547</v>
      </c>
    </row>
    <row r="759" spans="1:11" ht="15">
      <c r="A759" s="33"/>
      <c r="B759" s="91"/>
      <c r="C759" s="91"/>
      <c r="D759" s="34"/>
      <c r="E759" s="34"/>
      <c r="F759" s="26">
        <f t="shared" si="47"/>
        <v>744</v>
      </c>
      <c r="G759" s="77" t="s">
        <v>1099</v>
      </c>
      <c r="H759" s="31">
        <v>0</v>
      </c>
      <c r="I759" s="31">
        <v>4600</v>
      </c>
      <c r="J759" s="245">
        <v>0</v>
      </c>
      <c r="K759" s="336">
        <f t="shared" si="49"/>
        <v>0</v>
      </c>
    </row>
    <row r="760" spans="1:11" ht="15">
      <c r="A760" s="33"/>
      <c r="B760" s="91"/>
      <c r="C760" s="91"/>
      <c r="D760" s="34"/>
      <c r="E760" s="34"/>
      <c r="F760" s="26">
        <f t="shared" si="47"/>
        <v>745</v>
      </c>
      <c r="G760" s="77" t="s">
        <v>767</v>
      </c>
      <c r="H760" s="31">
        <v>0</v>
      </c>
      <c r="I760" s="31">
        <v>49500</v>
      </c>
      <c r="J760" s="245">
        <v>49435.1</v>
      </c>
      <c r="K760" s="336">
        <f t="shared" si="49"/>
        <v>99.86888888888889</v>
      </c>
    </row>
    <row r="761" spans="1:11" ht="15">
      <c r="A761" s="33"/>
      <c r="B761" s="91"/>
      <c r="C761" s="91"/>
      <c r="D761" s="34"/>
      <c r="E761" s="34"/>
      <c r="F761" s="26">
        <f t="shared" si="47"/>
        <v>746</v>
      </c>
      <c r="G761" s="77" t="s">
        <v>768</v>
      </c>
      <c r="H761" s="31">
        <v>0</v>
      </c>
      <c r="I761" s="31">
        <v>138500</v>
      </c>
      <c r="J761" s="245">
        <v>138418.29</v>
      </c>
      <c r="K761" s="336">
        <f t="shared" si="49"/>
        <v>99.94100361010831</v>
      </c>
    </row>
    <row r="762" spans="1:11" ht="15">
      <c r="A762" s="141"/>
      <c r="B762" s="66"/>
      <c r="C762" s="66"/>
      <c r="D762" s="327"/>
      <c r="E762" s="327"/>
      <c r="F762" s="26">
        <f t="shared" si="47"/>
        <v>747</v>
      </c>
      <c r="G762" s="77" t="s">
        <v>769</v>
      </c>
      <c r="H762" s="31">
        <v>0</v>
      </c>
      <c r="I762" s="31">
        <v>5026300</v>
      </c>
      <c r="J762" s="245">
        <v>5026227.85</v>
      </c>
      <c r="K762" s="336">
        <f t="shared" si="49"/>
        <v>99.99856455046455</v>
      </c>
    </row>
    <row r="763" spans="1:11" ht="15">
      <c r="A763" s="33"/>
      <c r="B763" s="91"/>
      <c r="C763" s="91"/>
      <c r="D763" s="34"/>
      <c r="E763" s="34"/>
      <c r="F763" s="26">
        <f t="shared" si="47"/>
        <v>748</v>
      </c>
      <c r="G763" s="77" t="s">
        <v>770</v>
      </c>
      <c r="H763" s="31">
        <v>0</v>
      </c>
      <c r="I763" s="31">
        <v>32200</v>
      </c>
      <c r="J763" s="245">
        <v>9887.02</v>
      </c>
      <c r="K763" s="336">
        <f>J763/I763*100</f>
        <v>30.705031055900623</v>
      </c>
    </row>
    <row r="764" spans="1:11" ht="15">
      <c r="A764" s="33"/>
      <c r="B764" s="91"/>
      <c r="C764" s="91"/>
      <c r="D764" s="34"/>
      <c r="E764" s="34"/>
      <c r="F764" s="26">
        <f t="shared" si="47"/>
        <v>749</v>
      </c>
      <c r="G764" s="77" t="s">
        <v>771</v>
      </c>
      <c r="H764" s="31">
        <v>0</v>
      </c>
      <c r="I764" s="31">
        <v>264600</v>
      </c>
      <c r="J764" s="245">
        <v>264535.15</v>
      </c>
      <c r="K764" s="336">
        <f>J764/I764*100</f>
        <v>99.97549130763417</v>
      </c>
    </row>
    <row r="765" spans="1:11" ht="15">
      <c r="A765" s="33"/>
      <c r="B765" s="91"/>
      <c r="C765" s="91"/>
      <c r="D765" s="34"/>
      <c r="E765" s="34"/>
      <c r="F765" s="26">
        <f t="shared" si="47"/>
        <v>750</v>
      </c>
      <c r="G765" s="77"/>
      <c r="H765" s="31"/>
      <c r="I765" s="31"/>
      <c r="J765" s="245"/>
      <c r="K765" s="336"/>
    </row>
    <row r="766" spans="1:11" ht="15">
      <c r="A766" s="171" t="s">
        <v>772</v>
      </c>
      <c r="B766" s="69">
        <f>SUM(B767:B768)</f>
        <v>883100</v>
      </c>
      <c r="C766" s="69">
        <f>SUM(C767:C768)</f>
        <v>847600</v>
      </c>
      <c r="D766" s="70">
        <f>SUM(D767:D768)</f>
        <v>842966.8</v>
      </c>
      <c r="E766" s="246">
        <f>D766/C766*100</f>
        <v>99.45337423312884</v>
      </c>
      <c r="F766" s="26">
        <f t="shared" si="47"/>
        <v>751</v>
      </c>
      <c r="G766" s="171" t="s">
        <v>772</v>
      </c>
      <c r="H766" s="69">
        <f>SUM(H767:H774)</f>
        <v>666400</v>
      </c>
      <c r="I766" s="69">
        <f>SUM(I767:I774)</f>
        <v>1073900</v>
      </c>
      <c r="J766" s="70">
        <f>SUM(J767:J774)</f>
        <v>1069334</v>
      </c>
      <c r="K766" s="352">
        <f aca="true" t="shared" si="50" ref="K766:K772">J766/I766*100</f>
        <v>99.57482074681069</v>
      </c>
    </row>
    <row r="767" spans="1:11" ht="15">
      <c r="A767" s="94" t="s">
        <v>773</v>
      </c>
      <c r="B767" s="23">
        <f>32500+100600</f>
        <v>133100</v>
      </c>
      <c r="C767" s="23">
        <f>32500+100600+0+0-5900</f>
        <v>127200</v>
      </c>
      <c r="D767" s="25">
        <v>126445.02</v>
      </c>
      <c r="E767" s="25">
        <f>D767/C767*100</f>
        <v>99.40646226415095</v>
      </c>
      <c r="F767" s="26">
        <f t="shared" si="47"/>
        <v>752</v>
      </c>
      <c r="G767" s="94" t="s">
        <v>774</v>
      </c>
      <c r="H767" s="23">
        <v>74400</v>
      </c>
      <c r="I767" s="23">
        <f>74400+0+0+0+45600</f>
        <v>120000</v>
      </c>
      <c r="J767" s="25">
        <v>119656.65</v>
      </c>
      <c r="K767" s="342">
        <f t="shared" si="50"/>
        <v>99.713875</v>
      </c>
    </row>
    <row r="768" spans="1:11" ht="15">
      <c r="A768" s="94" t="s">
        <v>775</v>
      </c>
      <c r="B768" s="23">
        <f>184200+565800</f>
        <v>750000</v>
      </c>
      <c r="C768" s="23">
        <f>184200+565800+0+0-29600</f>
        <v>720400</v>
      </c>
      <c r="D768" s="150">
        <v>716521.78</v>
      </c>
      <c r="E768" s="25">
        <f>D768/C768*100</f>
        <v>99.46165741254859</v>
      </c>
      <c r="F768" s="26">
        <f t="shared" si="47"/>
        <v>753</v>
      </c>
      <c r="G768" s="94" t="s">
        <v>776</v>
      </c>
      <c r="H768" s="23">
        <v>417600</v>
      </c>
      <c r="I768" s="23">
        <f>417600+0+0+0+258500+2000</f>
        <v>678100</v>
      </c>
      <c r="J768" s="150">
        <v>678054.35</v>
      </c>
      <c r="K768" s="342">
        <f t="shared" si="50"/>
        <v>99.99326795457897</v>
      </c>
    </row>
    <row r="769" spans="1:11" ht="15">
      <c r="A769" s="36"/>
      <c r="B769" s="59"/>
      <c r="C769" s="59"/>
      <c r="D769" s="57"/>
      <c r="E769" s="34"/>
      <c r="F769" s="26">
        <f t="shared" si="47"/>
        <v>754</v>
      </c>
      <c r="G769" s="94" t="s">
        <v>777</v>
      </c>
      <c r="H769" s="23">
        <v>18600</v>
      </c>
      <c r="I769" s="23">
        <f>18600+0+0+0+11400</f>
        <v>30000</v>
      </c>
      <c r="J769" s="150">
        <v>29958.45</v>
      </c>
      <c r="K769" s="342">
        <f t="shared" si="50"/>
        <v>99.8615</v>
      </c>
    </row>
    <row r="770" spans="1:11" ht="15">
      <c r="A770" s="36"/>
      <c r="B770" s="59"/>
      <c r="C770" s="59"/>
      <c r="D770" s="57"/>
      <c r="E770" s="34"/>
      <c r="F770" s="26">
        <f t="shared" si="47"/>
        <v>755</v>
      </c>
      <c r="G770" s="94" t="s">
        <v>778</v>
      </c>
      <c r="H770" s="23">
        <v>104400</v>
      </c>
      <c r="I770" s="23">
        <f>104400+0+0+0+64600+800</f>
        <v>169800</v>
      </c>
      <c r="J770" s="150">
        <v>169764.55</v>
      </c>
      <c r="K770" s="342">
        <f t="shared" si="50"/>
        <v>99.97912249705536</v>
      </c>
    </row>
    <row r="771" spans="1:11" ht="15">
      <c r="A771" s="36"/>
      <c r="B771" s="59"/>
      <c r="C771" s="59"/>
      <c r="D771" s="57"/>
      <c r="E771" s="34"/>
      <c r="F771" s="26">
        <f t="shared" si="47"/>
        <v>756</v>
      </c>
      <c r="G771" s="94" t="s">
        <v>779</v>
      </c>
      <c r="H771" s="23">
        <v>6600</v>
      </c>
      <c r="I771" s="23">
        <f>6600+0+0+0+4100+100</f>
        <v>10800</v>
      </c>
      <c r="J771" s="150">
        <v>10785</v>
      </c>
      <c r="K771" s="342">
        <f t="shared" si="50"/>
        <v>99.86111111111111</v>
      </c>
    </row>
    <row r="772" spans="1:11" ht="15">
      <c r="A772" s="36"/>
      <c r="B772" s="59"/>
      <c r="C772" s="59"/>
      <c r="D772" s="57"/>
      <c r="E772" s="34"/>
      <c r="F772" s="26">
        <f t="shared" si="47"/>
        <v>757</v>
      </c>
      <c r="G772" s="94" t="s">
        <v>780</v>
      </c>
      <c r="H772" s="23">
        <v>37800</v>
      </c>
      <c r="I772" s="23">
        <f>37800+0+0+0+23300+100</f>
        <v>61200</v>
      </c>
      <c r="J772" s="150">
        <v>61115</v>
      </c>
      <c r="K772" s="342">
        <f t="shared" si="50"/>
        <v>99.86111111111111</v>
      </c>
    </row>
    <row r="773" spans="1:11" ht="15">
      <c r="A773" s="36"/>
      <c r="B773" s="59"/>
      <c r="C773" s="59"/>
      <c r="D773" s="57"/>
      <c r="E773" s="34"/>
      <c r="F773" s="26">
        <f t="shared" si="47"/>
        <v>758</v>
      </c>
      <c r="G773" s="94" t="s">
        <v>781</v>
      </c>
      <c r="H773" s="23">
        <v>1000</v>
      </c>
      <c r="I773" s="23">
        <f>1000-400</f>
        <v>600</v>
      </c>
      <c r="J773" s="150">
        <v>0</v>
      </c>
      <c r="K773" s="342">
        <f>J773/I773*100</f>
        <v>0</v>
      </c>
    </row>
    <row r="774" spans="1:11" ht="15">
      <c r="A774" s="36"/>
      <c r="B774" s="59"/>
      <c r="C774" s="59"/>
      <c r="D774" s="57"/>
      <c r="E774" s="34"/>
      <c r="F774" s="26">
        <f t="shared" si="47"/>
        <v>759</v>
      </c>
      <c r="G774" s="94" t="s">
        <v>782</v>
      </c>
      <c r="H774" s="23">
        <v>6000</v>
      </c>
      <c r="I774" s="23">
        <f>6000-2600</f>
        <v>3400</v>
      </c>
      <c r="J774" s="150">
        <v>0</v>
      </c>
      <c r="K774" s="342">
        <f>J774/I774*100</f>
        <v>0</v>
      </c>
    </row>
    <row r="775" spans="1:11" ht="15">
      <c r="A775" s="36"/>
      <c r="B775" s="59"/>
      <c r="C775" s="59"/>
      <c r="D775" s="57"/>
      <c r="E775" s="34"/>
      <c r="F775" s="26">
        <f t="shared" si="47"/>
        <v>760</v>
      </c>
      <c r="G775" s="75"/>
      <c r="H775" s="89"/>
      <c r="I775" s="89"/>
      <c r="J775" s="101"/>
      <c r="K775" s="337"/>
    </row>
    <row r="776" spans="1:11" ht="15">
      <c r="A776" s="58"/>
      <c r="B776" s="59"/>
      <c r="C776" s="59"/>
      <c r="D776" s="57"/>
      <c r="E776" s="60"/>
      <c r="F776" s="26">
        <f t="shared" si="47"/>
        <v>761</v>
      </c>
      <c r="G776" s="191" t="s">
        <v>783</v>
      </c>
      <c r="H776" s="69">
        <f>H777</f>
        <v>90000</v>
      </c>
      <c r="I776" s="69">
        <f>I777</f>
        <v>90000</v>
      </c>
      <c r="J776" s="70">
        <f>J777</f>
        <v>58558</v>
      </c>
      <c r="K776" s="216">
        <f>J776/I776*100</f>
        <v>65.06444444444445</v>
      </c>
    </row>
    <row r="777" spans="1:11" ht="15">
      <c r="A777" s="58"/>
      <c r="B777" s="59"/>
      <c r="C777" s="59"/>
      <c r="D777" s="57"/>
      <c r="E777" s="60"/>
      <c r="F777" s="26">
        <f t="shared" si="47"/>
        <v>762</v>
      </c>
      <c r="G777" s="77" t="s">
        <v>784</v>
      </c>
      <c r="H777" s="31">
        <v>90000</v>
      </c>
      <c r="I777" s="95">
        <f>70000+0+0+20000</f>
        <v>90000</v>
      </c>
      <c r="J777" s="150">
        <v>58558</v>
      </c>
      <c r="K777" s="336">
        <f>J777/I777*100</f>
        <v>65.06444444444445</v>
      </c>
    </row>
    <row r="778" spans="1:11" ht="15">
      <c r="A778" s="58"/>
      <c r="B778" s="59"/>
      <c r="C778" s="59"/>
      <c r="D778" s="57"/>
      <c r="E778" s="60"/>
      <c r="F778" s="26">
        <f t="shared" si="47"/>
        <v>763</v>
      </c>
      <c r="G778" s="72"/>
      <c r="H778" s="152"/>
      <c r="I778" s="152"/>
      <c r="J778" s="150"/>
      <c r="K778" s="336"/>
    </row>
    <row r="779" spans="1:11" ht="15">
      <c r="A779" s="58"/>
      <c r="B779" s="59"/>
      <c r="C779" s="59"/>
      <c r="D779" s="57"/>
      <c r="E779" s="60"/>
      <c r="F779" s="26">
        <f t="shared" si="47"/>
        <v>764</v>
      </c>
      <c r="G779" s="191" t="s">
        <v>785</v>
      </c>
      <c r="H779" s="69">
        <f>SUM(H780:H781)</f>
        <v>25000</v>
      </c>
      <c r="I779" s="69">
        <f>SUM(I780:I781)</f>
        <v>28000</v>
      </c>
      <c r="J779" s="70">
        <f>SUM(J780:J781)</f>
        <v>18000</v>
      </c>
      <c r="K779" s="216">
        <f>J779/I779*100</f>
        <v>64.28571428571429</v>
      </c>
    </row>
    <row r="780" spans="1:11" ht="15">
      <c r="A780" s="58"/>
      <c r="B780" s="59"/>
      <c r="C780" s="59"/>
      <c r="D780" s="57"/>
      <c r="E780" s="60"/>
      <c r="F780" s="26">
        <f t="shared" si="47"/>
        <v>765</v>
      </c>
      <c r="G780" s="128" t="s">
        <v>116</v>
      </c>
      <c r="H780" s="31">
        <v>10000</v>
      </c>
      <c r="I780" s="31">
        <v>10000</v>
      </c>
      <c r="J780" s="150">
        <v>0</v>
      </c>
      <c r="K780" s="336">
        <f>J780/I780*100</f>
        <v>0</v>
      </c>
    </row>
    <row r="781" spans="1:11" ht="15">
      <c r="A781" s="58"/>
      <c r="B781" s="59"/>
      <c r="C781" s="59"/>
      <c r="D781" s="57"/>
      <c r="E781" s="60"/>
      <c r="F781" s="26">
        <f t="shared" si="47"/>
        <v>766</v>
      </c>
      <c r="G781" s="128" t="s">
        <v>786</v>
      </c>
      <c r="H781" s="31">
        <v>15000</v>
      </c>
      <c r="I781" s="31">
        <f>15000+3000</f>
        <v>18000</v>
      </c>
      <c r="J781" s="150">
        <v>18000</v>
      </c>
      <c r="K781" s="336">
        <f>J781/I781*100</f>
        <v>100</v>
      </c>
    </row>
    <row r="782" spans="1:11" ht="15">
      <c r="A782" s="58"/>
      <c r="B782" s="59"/>
      <c r="C782" s="59"/>
      <c r="D782" s="57"/>
      <c r="E782" s="60"/>
      <c r="F782" s="26">
        <f t="shared" si="47"/>
        <v>767</v>
      </c>
      <c r="G782" s="128"/>
      <c r="H782" s="89"/>
      <c r="I782" s="89"/>
      <c r="J782" s="158"/>
      <c r="K782" s="337"/>
    </row>
    <row r="783" spans="1:11" ht="15">
      <c r="A783" s="247"/>
      <c r="B783" s="66"/>
      <c r="C783" s="66"/>
      <c r="D783" s="174"/>
      <c r="E783" s="327"/>
      <c r="F783" s="26">
        <f t="shared" si="47"/>
        <v>768</v>
      </c>
      <c r="G783" s="248" t="s">
        <v>787</v>
      </c>
      <c r="H783" s="69">
        <f>SUM(H784:H788)</f>
        <v>41500</v>
      </c>
      <c r="I783" s="69">
        <f>SUM(I784:I788)</f>
        <v>41500</v>
      </c>
      <c r="J783" s="70">
        <f>SUM(J784:J788)</f>
        <v>18492</v>
      </c>
      <c r="K783" s="216">
        <f aca="true" t="shared" si="51" ref="K783:K790">J783/I783*100</f>
        <v>44.559036144578315</v>
      </c>
    </row>
    <row r="784" spans="1:11" ht="15">
      <c r="A784" s="36"/>
      <c r="B784" s="177"/>
      <c r="C784" s="177"/>
      <c r="D784" s="132"/>
      <c r="E784" s="323"/>
      <c r="F784" s="26">
        <f t="shared" si="47"/>
        <v>769</v>
      </c>
      <c r="G784" s="249" t="s">
        <v>788</v>
      </c>
      <c r="H784" s="31">
        <v>10000</v>
      </c>
      <c r="I784" s="31">
        <v>10000</v>
      </c>
      <c r="J784" s="73">
        <v>0</v>
      </c>
      <c r="K784" s="336">
        <f t="shared" si="51"/>
        <v>0</v>
      </c>
    </row>
    <row r="785" spans="1:11" ht="15">
      <c r="A785" s="36"/>
      <c r="B785" s="131"/>
      <c r="C785" s="131"/>
      <c r="D785" s="57"/>
      <c r="E785" s="132"/>
      <c r="F785" s="26">
        <f t="shared" si="47"/>
        <v>770</v>
      </c>
      <c r="G785" s="249" t="s">
        <v>136</v>
      </c>
      <c r="H785" s="31">
        <v>1000</v>
      </c>
      <c r="I785" s="31">
        <v>1000</v>
      </c>
      <c r="J785" s="73">
        <v>0</v>
      </c>
      <c r="K785" s="336">
        <f t="shared" si="51"/>
        <v>0</v>
      </c>
    </row>
    <row r="786" spans="1:11" ht="15">
      <c r="A786" s="36"/>
      <c r="B786" s="131"/>
      <c r="C786" s="131"/>
      <c r="D786" s="57"/>
      <c r="E786" s="132"/>
      <c r="F786" s="26">
        <f t="shared" si="47"/>
        <v>771</v>
      </c>
      <c r="G786" s="249" t="s">
        <v>436</v>
      </c>
      <c r="H786" s="31">
        <v>500</v>
      </c>
      <c r="I786" s="31">
        <v>500</v>
      </c>
      <c r="J786" s="73">
        <v>0</v>
      </c>
      <c r="K786" s="336">
        <f t="shared" si="51"/>
        <v>0</v>
      </c>
    </row>
    <row r="787" spans="1:11" ht="15">
      <c r="A787" s="36"/>
      <c r="B787" s="131"/>
      <c r="C787" s="131"/>
      <c r="D787" s="57"/>
      <c r="E787" s="132"/>
      <c r="F787" s="26">
        <f t="shared" si="47"/>
        <v>772</v>
      </c>
      <c r="G787" s="249" t="s">
        <v>116</v>
      </c>
      <c r="H787" s="31">
        <v>20000</v>
      </c>
      <c r="I787" s="31">
        <v>20000</v>
      </c>
      <c r="J787" s="150">
        <v>18492</v>
      </c>
      <c r="K787" s="336">
        <f t="shared" si="51"/>
        <v>92.46</v>
      </c>
    </row>
    <row r="788" spans="1:11" ht="15">
      <c r="A788" s="58"/>
      <c r="B788" s="59"/>
      <c r="C788" s="59"/>
      <c r="D788" s="57"/>
      <c r="E788" s="60"/>
      <c r="F788" s="26">
        <f aca="true" t="shared" si="52" ref="F788:F851">F787+1</f>
        <v>773</v>
      </c>
      <c r="G788" s="249" t="s">
        <v>125</v>
      </c>
      <c r="H788" s="31">
        <v>10000</v>
      </c>
      <c r="I788" s="31">
        <v>10000</v>
      </c>
      <c r="J788" s="150">
        <v>0</v>
      </c>
      <c r="K788" s="336">
        <f t="shared" si="51"/>
        <v>0</v>
      </c>
    </row>
    <row r="789" spans="1:11" ht="15">
      <c r="A789" s="58"/>
      <c r="B789" s="59"/>
      <c r="C789" s="59"/>
      <c r="D789" s="57"/>
      <c r="E789" s="60"/>
      <c r="F789" s="26">
        <f t="shared" si="52"/>
        <v>774</v>
      </c>
      <c r="G789" s="249"/>
      <c r="H789" s="186"/>
      <c r="I789" s="186"/>
      <c r="J789" s="158"/>
      <c r="K789" s="337"/>
    </row>
    <row r="790" spans="1:11" ht="15">
      <c r="A790" s="58"/>
      <c r="B790" s="59"/>
      <c r="C790" s="59"/>
      <c r="D790" s="57"/>
      <c r="E790" s="60"/>
      <c r="F790" s="26">
        <f t="shared" si="52"/>
        <v>775</v>
      </c>
      <c r="G790" s="68" t="s">
        <v>789</v>
      </c>
      <c r="H790" s="62">
        <f>H791</f>
        <v>6000</v>
      </c>
      <c r="I790" s="62">
        <f>I791</f>
        <v>6000</v>
      </c>
      <c r="J790" s="63">
        <f>J791</f>
        <v>6000</v>
      </c>
      <c r="K790" s="216">
        <f t="shared" si="51"/>
        <v>100</v>
      </c>
    </row>
    <row r="791" spans="1:11" ht="15">
      <c r="A791" s="58"/>
      <c r="B791" s="59"/>
      <c r="C791" s="59"/>
      <c r="D791" s="57"/>
      <c r="E791" s="60"/>
      <c r="F791" s="26">
        <f t="shared" si="52"/>
        <v>776</v>
      </c>
      <c r="G791" s="77" t="s">
        <v>790</v>
      </c>
      <c r="H791" s="31">
        <v>6000</v>
      </c>
      <c r="I791" s="152">
        <f>0+0+0+0+6000</f>
        <v>6000</v>
      </c>
      <c r="J791" s="150">
        <v>6000</v>
      </c>
      <c r="K791" s="336">
        <f>J791/I791*100</f>
        <v>100</v>
      </c>
    </row>
    <row r="792" spans="1:11" ht="15">
      <c r="A792" s="58"/>
      <c r="B792" s="59"/>
      <c r="C792" s="59"/>
      <c r="D792" s="57"/>
      <c r="E792" s="60"/>
      <c r="F792" s="26">
        <f t="shared" si="52"/>
        <v>777</v>
      </c>
      <c r="G792" s="249"/>
      <c r="H792" s="186"/>
      <c r="I792" s="186"/>
      <c r="J792" s="158"/>
      <c r="K792" s="337"/>
    </row>
    <row r="793" spans="1:11" ht="15">
      <c r="A793" s="92" t="s">
        <v>791</v>
      </c>
      <c r="B793" s="87">
        <f>SUM(B794:B796)</f>
        <v>265000</v>
      </c>
      <c r="C793" s="87">
        <f>SUM(C794:C796)</f>
        <v>265000</v>
      </c>
      <c r="D793" s="93">
        <f>SUM(D794:D796)</f>
        <v>234506</v>
      </c>
      <c r="E793" s="93">
        <f>D793/C793*100</f>
        <v>88.49283018867925</v>
      </c>
      <c r="F793" s="26">
        <f t="shared" si="52"/>
        <v>778</v>
      </c>
      <c r="G793" s="68" t="s">
        <v>792</v>
      </c>
      <c r="H793" s="69">
        <f>SUM(H794:H800)</f>
        <v>993000</v>
      </c>
      <c r="I793" s="69">
        <f>SUM(I794:I800)</f>
        <v>443000</v>
      </c>
      <c r="J793" s="63">
        <f>SUM(J794:J800)</f>
        <v>258814.15</v>
      </c>
      <c r="K793" s="216">
        <f aca="true" t="shared" si="53" ref="K793:K800">J793/I793*100</f>
        <v>58.423058690744924</v>
      </c>
    </row>
    <row r="794" spans="1:11" ht="15">
      <c r="A794" s="94" t="s">
        <v>793</v>
      </c>
      <c r="B794" s="95">
        <v>150000</v>
      </c>
      <c r="C794" s="95">
        <v>140800</v>
      </c>
      <c r="D794" s="73">
        <v>118551</v>
      </c>
      <c r="E794" s="73">
        <f>D794/C794*100</f>
        <v>84.19815340909092</v>
      </c>
      <c r="F794" s="26">
        <f t="shared" si="52"/>
        <v>779</v>
      </c>
      <c r="G794" s="128" t="s">
        <v>794</v>
      </c>
      <c r="H794" s="31">
        <v>5000</v>
      </c>
      <c r="I794" s="31">
        <v>5000</v>
      </c>
      <c r="J794" s="73">
        <v>0</v>
      </c>
      <c r="K794" s="336">
        <f t="shared" si="53"/>
        <v>0</v>
      </c>
    </row>
    <row r="795" spans="1:11" ht="15">
      <c r="A795" s="94" t="s">
        <v>795</v>
      </c>
      <c r="B795" s="95">
        <v>100000</v>
      </c>
      <c r="C795" s="95">
        <v>109200</v>
      </c>
      <c r="D795" s="73">
        <v>109171</v>
      </c>
      <c r="E795" s="73">
        <f>D795/C795*100</f>
        <v>99.97344322344323</v>
      </c>
      <c r="F795" s="26">
        <f t="shared" si="52"/>
        <v>780</v>
      </c>
      <c r="G795" s="128" t="s">
        <v>796</v>
      </c>
      <c r="H795" s="31">
        <v>15000</v>
      </c>
      <c r="I795" s="31">
        <v>15000</v>
      </c>
      <c r="J795" s="73">
        <v>7808</v>
      </c>
      <c r="K795" s="336">
        <f t="shared" si="53"/>
        <v>52.05333333333333</v>
      </c>
    </row>
    <row r="796" spans="1:11" ht="15">
      <c r="A796" s="250" t="s">
        <v>797</v>
      </c>
      <c r="B796" s="95">
        <v>15000</v>
      </c>
      <c r="C796" s="95">
        <v>15000</v>
      </c>
      <c r="D796" s="150">
        <v>6784</v>
      </c>
      <c r="E796" s="73">
        <f>D796/C796*100</f>
        <v>45.22666666666667</v>
      </c>
      <c r="F796" s="26">
        <f t="shared" si="52"/>
        <v>781</v>
      </c>
      <c r="G796" s="128" t="s">
        <v>798</v>
      </c>
      <c r="H796" s="31">
        <v>150000</v>
      </c>
      <c r="I796" s="31">
        <v>150000</v>
      </c>
      <c r="J796" s="73">
        <v>87549</v>
      </c>
      <c r="K796" s="336">
        <f t="shared" si="53"/>
        <v>58.36599999999999</v>
      </c>
    </row>
    <row r="797" spans="1:11" ht="15">
      <c r="A797" s="251"/>
      <c r="B797" s="59"/>
      <c r="C797" s="59"/>
      <c r="D797" s="57"/>
      <c r="E797" s="132"/>
      <c r="F797" s="26">
        <f t="shared" si="52"/>
        <v>782</v>
      </c>
      <c r="G797" s="128" t="s">
        <v>799</v>
      </c>
      <c r="H797" s="31">
        <v>20000</v>
      </c>
      <c r="I797" s="31">
        <v>20000</v>
      </c>
      <c r="J797" s="73">
        <v>8614</v>
      </c>
      <c r="K797" s="336">
        <f t="shared" si="53"/>
        <v>43.07</v>
      </c>
    </row>
    <row r="798" spans="1:11" ht="15">
      <c r="A798" s="58"/>
      <c r="B798" s="59"/>
      <c r="C798" s="59"/>
      <c r="D798" s="60"/>
      <c r="E798" s="60"/>
      <c r="F798" s="26">
        <f t="shared" si="52"/>
        <v>783</v>
      </c>
      <c r="G798" s="128" t="s">
        <v>800</v>
      </c>
      <c r="H798" s="31">
        <v>3000</v>
      </c>
      <c r="I798" s="31">
        <v>3000</v>
      </c>
      <c r="J798" s="73">
        <v>0</v>
      </c>
      <c r="K798" s="336">
        <f t="shared" si="53"/>
        <v>0</v>
      </c>
    </row>
    <row r="799" spans="1:11" ht="15">
      <c r="A799" s="58"/>
      <c r="B799" s="59"/>
      <c r="C799" s="59"/>
      <c r="D799" s="60"/>
      <c r="E799" s="60"/>
      <c r="F799" s="26">
        <f t="shared" si="52"/>
        <v>784</v>
      </c>
      <c r="G799" s="128" t="s">
        <v>801</v>
      </c>
      <c r="H799" s="31">
        <v>200000</v>
      </c>
      <c r="I799" s="31">
        <v>200000</v>
      </c>
      <c r="J799" s="73">
        <v>146097.55</v>
      </c>
      <c r="K799" s="336">
        <f t="shared" si="53"/>
        <v>73.048775</v>
      </c>
    </row>
    <row r="800" spans="1:11" ht="15">
      <c r="A800" s="58"/>
      <c r="B800" s="59"/>
      <c r="C800" s="59"/>
      <c r="D800" s="60"/>
      <c r="E800" s="60"/>
      <c r="F800" s="26">
        <f t="shared" si="52"/>
        <v>785</v>
      </c>
      <c r="G800" s="128" t="s">
        <v>802</v>
      </c>
      <c r="H800" s="31">
        <v>600000</v>
      </c>
      <c r="I800" s="31">
        <f>600000+0+0+0-500000-50000</f>
        <v>50000</v>
      </c>
      <c r="J800" s="73">
        <v>8745.6</v>
      </c>
      <c r="K800" s="336">
        <f t="shared" si="53"/>
        <v>17.491200000000003</v>
      </c>
    </row>
    <row r="801" spans="1:11" ht="15">
      <c r="A801" s="58"/>
      <c r="B801" s="59"/>
      <c r="C801" s="59"/>
      <c r="D801" s="60"/>
      <c r="E801" s="60"/>
      <c r="F801" s="26">
        <f t="shared" si="52"/>
        <v>786</v>
      </c>
      <c r="G801" s="128"/>
      <c r="H801" s="186"/>
      <c r="I801" s="186"/>
      <c r="J801" s="99"/>
      <c r="K801" s="337"/>
    </row>
    <row r="802" spans="1:11" ht="15">
      <c r="A802" s="58"/>
      <c r="B802" s="59"/>
      <c r="C802" s="59"/>
      <c r="D802" s="60"/>
      <c r="E802" s="60"/>
      <c r="F802" s="26">
        <f t="shared" si="52"/>
        <v>787</v>
      </c>
      <c r="G802" s="68" t="s">
        <v>803</v>
      </c>
      <c r="H802" s="62">
        <f>H803</f>
        <v>400000</v>
      </c>
      <c r="I802" s="62">
        <f>I803</f>
        <v>400000</v>
      </c>
      <c r="J802" s="63">
        <f>J803</f>
        <v>400000</v>
      </c>
      <c r="K802" s="216">
        <f>J802/I802*100</f>
        <v>100</v>
      </c>
    </row>
    <row r="803" spans="1:11" ht="15">
      <c r="A803" s="58"/>
      <c r="B803" s="59"/>
      <c r="C803" s="59"/>
      <c r="D803" s="60"/>
      <c r="E803" s="60"/>
      <c r="F803" s="26">
        <f t="shared" si="52"/>
        <v>788</v>
      </c>
      <c r="G803" s="77" t="s">
        <v>804</v>
      </c>
      <c r="H803" s="31">
        <v>400000</v>
      </c>
      <c r="I803" s="152">
        <f>0+0+0+0+400000</f>
        <v>400000</v>
      </c>
      <c r="J803" s="150">
        <v>400000</v>
      </c>
      <c r="K803" s="336">
        <f>J803/I803*100</f>
        <v>100</v>
      </c>
    </row>
    <row r="804" spans="1:11" ht="15">
      <c r="A804" s="58"/>
      <c r="B804" s="59"/>
      <c r="C804" s="59"/>
      <c r="D804" s="60"/>
      <c r="E804" s="60"/>
      <c r="F804" s="26">
        <f t="shared" si="52"/>
        <v>789</v>
      </c>
      <c r="G804" s="128"/>
      <c r="H804" s="99"/>
      <c r="I804" s="99"/>
      <c r="J804" s="99"/>
      <c r="K804" s="337"/>
    </row>
    <row r="805" spans="1:11" ht="15">
      <c r="A805" s="58"/>
      <c r="B805" s="59"/>
      <c r="C805" s="59"/>
      <c r="D805" s="60"/>
      <c r="E805" s="60"/>
      <c r="F805" s="26">
        <f t="shared" si="52"/>
        <v>790</v>
      </c>
      <c r="G805" s="68" t="s">
        <v>805</v>
      </c>
      <c r="H805" s="69">
        <f>SUM(H806:H807)</f>
        <v>7000</v>
      </c>
      <c r="I805" s="69">
        <f>SUM(I806:I807)</f>
        <v>7000</v>
      </c>
      <c r="J805" s="70">
        <f>SUM(J806:J807)</f>
        <v>7000</v>
      </c>
      <c r="K805" s="216">
        <f>J805/I805*100</f>
        <v>100</v>
      </c>
    </row>
    <row r="806" spans="1:11" ht="15">
      <c r="A806" s="58"/>
      <c r="B806" s="59"/>
      <c r="C806" s="59"/>
      <c r="D806" s="60"/>
      <c r="E806" s="60"/>
      <c r="F806" s="26">
        <f t="shared" si="52"/>
        <v>791</v>
      </c>
      <c r="G806" s="77" t="s">
        <v>806</v>
      </c>
      <c r="H806" s="31">
        <v>2000</v>
      </c>
      <c r="I806" s="152">
        <f>0+0+0+0+2000</f>
        <v>2000</v>
      </c>
      <c r="J806" s="150">
        <v>2000</v>
      </c>
      <c r="K806" s="336">
        <f>J806/I806*100</f>
        <v>100</v>
      </c>
    </row>
    <row r="807" spans="1:11" ht="15">
      <c r="A807" s="58"/>
      <c r="B807" s="59"/>
      <c r="C807" s="59"/>
      <c r="D807" s="60"/>
      <c r="E807" s="60"/>
      <c r="F807" s="26">
        <f t="shared" si="52"/>
        <v>792</v>
      </c>
      <c r="G807" s="77" t="s">
        <v>807</v>
      </c>
      <c r="H807" s="31">
        <v>5000</v>
      </c>
      <c r="I807" s="152">
        <f>0+0+0+0+5000</f>
        <v>5000</v>
      </c>
      <c r="J807" s="150">
        <v>5000</v>
      </c>
      <c r="K807" s="336">
        <f>J807/I807*100</f>
        <v>100</v>
      </c>
    </row>
    <row r="808" spans="1:11" ht="15">
      <c r="A808" s="58"/>
      <c r="B808" s="59"/>
      <c r="C808" s="59"/>
      <c r="D808" s="60"/>
      <c r="E808" s="60"/>
      <c r="F808" s="26">
        <f t="shared" si="52"/>
        <v>793</v>
      </c>
      <c r="G808" s="77"/>
      <c r="H808" s="186"/>
      <c r="I808" s="89"/>
      <c r="J808" s="158"/>
      <c r="K808" s="337"/>
    </row>
    <row r="809" spans="1:11" ht="15">
      <c r="A809" s="92" t="s">
        <v>808</v>
      </c>
      <c r="B809" s="87">
        <f>B810</f>
        <v>200000</v>
      </c>
      <c r="C809" s="87">
        <f>C810</f>
        <v>200000</v>
      </c>
      <c r="D809" s="93">
        <f>D810</f>
        <v>186074</v>
      </c>
      <c r="E809" s="93">
        <f>D809/C809*100</f>
        <v>93.037</v>
      </c>
      <c r="F809" s="26">
        <f t="shared" si="52"/>
        <v>794</v>
      </c>
      <c r="G809" s="92" t="s">
        <v>809</v>
      </c>
      <c r="H809" s="69">
        <f>SUM(H810:H810)</f>
        <v>490500</v>
      </c>
      <c r="I809" s="69">
        <f>SUM(I810:I810)</f>
        <v>490500</v>
      </c>
      <c r="J809" s="70">
        <f>SUM(J810:J810)</f>
        <v>462879</v>
      </c>
      <c r="K809" s="216">
        <f>J809/I809*100</f>
        <v>94.36880733944955</v>
      </c>
    </row>
    <row r="810" spans="1:11" ht="15">
      <c r="A810" s="94" t="s">
        <v>810</v>
      </c>
      <c r="B810" s="23">
        <v>200000</v>
      </c>
      <c r="C810" s="23">
        <v>200000</v>
      </c>
      <c r="D810" s="25">
        <v>186074</v>
      </c>
      <c r="E810" s="25">
        <f>D810/C810*100</f>
        <v>93.037</v>
      </c>
      <c r="F810" s="26">
        <f t="shared" si="52"/>
        <v>795</v>
      </c>
      <c r="G810" s="77" t="s">
        <v>811</v>
      </c>
      <c r="H810" s="152">
        <v>490500</v>
      </c>
      <c r="I810" s="152">
        <v>490500</v>
      </c>
      <c r="J810" s="150">
        <v>462879</v>
      </c>
      <c r="K810" s="336">
        <f>J810/I810*100</f>
        <v>94.36880733944955</v>
      </c>
    </row>
    <row r="811" spans="1:11" ht="15">
      <c r="A811" s="36"/>
      <c r="B811" s="91"/>
      <c r="C811" s="91"/>
      <c r="D811" s="34"/>
      <c r="E811" s="34"/>
      <c r="F811" s="26">
        <f t="shared" si="52"/>
        <v>796</v>
      </c>
      <c r="G811" s="77"/>
      <c r="H811" s="89"/>
      <c r="I811" s="89"/>
      <c r="J811" s="158"/>
      <c r="K811" s="337"/>
    </row>
    <row r="812" spans="1:11" ht="15">
      <c r="A812" s="36"/>
      <c r="B812" s="91"/>
      <c r="C812" s="91"/>
      <c r="D812" s="34"/>
      <c r="E812" s="34"/>
      <c r="F812" s="26">
        <f t="shared" si="52"/>
        <v>797</v>
      </c>
      <c r="G812" s="68" t="s">
        <v>812</v>
      </c>
      <c r="H812" s="69">
        <f>SUM(H813:H814)</f>
        <v>16000</v>
      </c>
      <c r="I812" s="69">
        <f>SUM(I813:I814)</f>
        <v>16000</v>
      </c>
      <c r="J812" s="70">
        <f>SUM(J813:J814)</f>
        <v>16000</v>
      </c>
      <c r="K812" s="216">
        <f>J812/I812*100</f>
        <v>100</v>
      </c>
    </row>
    <row r="813" spans="1:11" ht="15">
      <c r="A813" s="36"/>
      <c r="B813" s="91"/>
      <c r="C813" s="91"/>
      <c r="D813" s="34"/>
      <c r="E813" s="34"/>
      <c r="F813" s="26">
        <f t="shared" si="52"/>
        <v>798</v>
      </c>
      <c r="G813" s="77" t="s">
        <v>813</v>
      </c>
      <c r="H813" s="31">
        <v>10000</v>
      </c>
      <c r="I813" s="31">
        <v>10000</v>
      </c>
      <c r="J813" s="150">
        <v>10000</v>
      </c>
      <c r="K813" s="336">
        <f>J813/I813*100</f>
        <v>100</v>
      </c>
    </row>
    <row r="814" spans="1:11" ht="15">
      <c r="A814" s="36"/>
      <c r="B814" s="91"/>
      <c r="C814" s="91"/>
      <c r="D814" s="34"/>
      <c r="E814" s="34"/>
      <c r="F814" s="26">
        <f t="shared" si="52"/>
        <v>799</v>
      </c>
      <c r="G814" s="77" t="s">
        <v>814</v>
      </c>
      <c r="H814" s="31">
        <v>6000</v>
      </c>
      <c r="I814" s="31">
        <v>6000</v>
      </c>
      <c r="J814" s="150">
        <v>6000</v>
      </c>
      <c r="K814" s="336">
        <f>J814/I814*100</f>
        <v>100</v>
      </c>
    </row>
    <row r="815" spans="1:11" ht="15">
      <c r="A815" s="36"/>
      <c r="B815" s="91"/>
      <c r="C815" s="91"/>
      <c r="D815" s="34"/>
      <c r="E815" s="34"/>
      <c r="F815" s="26">
        <f t="shared" si="52"/>
        <v>800</v>
      </c>
      <c r="G815" s="77"/>
      <c r="H815" s="186"/>
      <c r="I815" s="186"/>
      <c r="J815" s="158"/>
      <c r="K815" s="337"/>
    </row>
    <row r="816" spans="1:11" ht="15">
      <c r="A816" s="36"/>
      <c r="B816" s="91"/>
      <c r="C816" s="91"/>
      <c r="D816" s="34"/>
      <c r="E816" s="34"/>
      <c r="F816" s="26">
        <f t="shared" si="52"/>
        <v>801</v>
      </c>
      <c r="G816" s="191" t="s">
        <v>815</v>
      </c>
      <c r="H816" s="69">
        <f>H817</f>
        <v>10000</v>
      </c>
      <c r="I816" s="69">
        <f>I817</f>
        <v>10000</v>
      </c>
      <c r="J816" s="70">
        <f>J817</f>
        <v>10000</v>
      </c>
      <c r="K816" s="336">
        <f>J816/I816*100</f>
        <v>100</v>
      </c>
    </row>
    <row r="817" spans="1:11" ht="15">
      <c r="A817" s="36"/>
      <c r="B817" s="91"/>
      <c r="C817" s="91"/>
      <c r="D817" s="34"/>
      <c r="E817" s="34"/>
      <c r="F817" s="26">
        <f t="shared" si="52"/>
        <v>802</v>
      </c>
      <c r="G817" s="128" t="s">
        <v>816</v>
      </c>
      <c r="H817" s="31">
        <v>10000</v>
      </c>
      <c r="I817" s="152">
        <f>0+0+0+10000</f>
        <v>10000</v>
      </c>
      <c r="J817" s="166">
        <v>10000</v>
      </c>
      <c r="K817" s="336">
        <f>J817/I817*100</f>
        <v>100</v>
      </c>
    </row>
    <row r="818" spans="1:11" ht="15">
      <c r="A818" s="36"/>
      <c r="B818" s="91"/>
      <c r="C818" s="91"/>
      <c r="D818" s="34"/>
      <c r="E818" s="34"/>
      <c r="F818" s="26">
        <f t="shared" si="52"/>
        <v>803</v>
      </c>
      <c r="G818" s="128"/>
      <c r="H818" s="186"/>
      <c r="I818" s="89"/>
      <c r="J818" s="252"/>
      <c r="K818" s="337"/>
    </row>
    <row r="819" spans="1:11" ht="15">
      <c r="A819" s="92" t="s">
        <v>817</v>
      </c>
      <c r="B819" s="87">
        <f>B820</f>
        <v>500</v>
      </c>
      <c r="C819" s="87">
        <f>C820</f>
        <v>500</v>
      </c>
      <c r="D819" s="93">
        <f>D820</f>
        <v>76</v>
      </c>
      <c r="E819" s="93">
        <f>D819/C819*100</f>
        <v>15.2</v>
      </c>
      <c r="F819" s="26">
        <f t="shared" si="52"/>
        <v>804</v>
      </c>
      <c r="G819" s="92" t="s">
        <v>817</v>
      </c>
      <c r="H819" s="69">
        <f>H820</f>
        <v>0</v>
      </c>
      <c r="I819" s="69">
        <f>I820</f>
        <v>500</v>
      </c>
      <c r="J819" s="70">
        <f>J820</f>
        <v>451</v>
      </c>
      <c r="K819" s="336">
        <f>J819/I819*100</f>
        <v>90.2</v>
      </c>
    </row>
    <row r="820" spans="1:11" ht="15">
      <c r="A820" s="94" t="s">
        <v>818</v>
      </c>
      <c r="B820" s="23">
        <v>500</v>
      </c>
      <c r="C820" s="23">
        <f>0+0+0+500</f>
        <v>500</v>
      </c>
      <c r="D820" s="25">
        <v>76</v>
      </c>
      <c r="E820" s="25">
        <f>D820/C820*100</f>
        <v>15.2</v>
      </c>
      <c r="F820" s="26">
        <f t="shared" si="52"/>
        <v>805</v>
      </c>
      <c r="G820" s="128" t="s">
        <v>819</v>
      </c>
      <c r="H820" s="31">
        <v>0</v>
      </c>
      <c r="I820" s="152">
        <f>0+0+0+0+500</f>
        <v>500</v>
      </c>
      <c r="J820" s="166">
        <v>451</v>
      </c>
      <c r="K820" s="336">
        <f>J820/I820*100</f>
        <v>90.2</v>
      </c>
    </row>
    <row r="821" spans="1:11" ht="15">
      <c r="A821" s="253"/>
      <c r="B821" s="254"/>
      <c r="C821" s="254"/>
      <c r="D821" s="255"/>
      <c r="E821" s="255"/>
      <c r="F821" s="26">
        <f t="shared" si="52"/>
        <v>806</v>
      </c>
      <c r="G821" s="77"/>
      <c r="H821" s="89"/>
      <c r="I821" s="89"/>
      <c r="J821" s="158"/>
      <c r="K821" s="337"/>
    </row>
    <row r="822" spans="1:11" ht="15">
      <c r="A822" s="36"/>
      <c r="B822" s="91"/>
      <c r="C822" s="91"/>
      <c r="D822" s="34"/>
      <c r="E822" s="34"/>
      <c r="F822" s="26">
        <f t="shared" si="52"/>
        <v>807</v>
      </c>
      <c r="G822" s="191" t="s">
        <v>820</v>
      </c>
      <c r="H822" s="69">
        <f>SUM(H823:H824)</f>
        <v>215000</v>
      </c>
      <c r="I822" s="69">
        <f>SUM(I823:I824)</f>
        <v>215000</v>
      </c>
      <c r="J822" s="70">
        <f>SUM(J823:J824)</f>
        <v>0</v>
      </c>
      <c r="K822" s="216">
        <f>J822/I822*100</f>
        <v>0</v>
      </c>
    </row>
    <row r="823" spans="1:11" ht="15">
      <c r="A823" s="58"/>
      <c r="B823" s="59"/>
      <c r="C823" s="59"/>
      <c r="D823" s="57"/>
      <c r="E823" s="60"/>
      <c r="F823" s="26">
        <f t="shared" si="52"/>
        <v>808</v>
      </c>
      <c r="G823" s="77" t="s">
        <v>821</v>
      </c>
      <c r="H823" s="31">
        <v>15000</v>
      </c>
      <c r="I823" s="31">
        <v>15000</v>
      </c>
      <c r="J823" s="166">
        <v>0</v>
      </c>
      <c r="K823" s="336">
        <f>J823/I823*100</f>
        <v>0</v>
      </c>
    </row>
    <row r="824" spans="1:11" ht="15">
      <c r="A824" s="58"/>
      <c r="B824" s="59"/>
      <c r="C824" s="59"/>
      <c r="D824" s="57"/>
      <c r="E824" s="60"/>
      <c r="F824" s="26">
        <f t="shared" si="52"/>
        <v>809</v>
      </c>
      <c r="G824" s="77" t="s">
        <v>822</v>
      </c>
      <c r="H824" s="31">
        <v>200000</v>
      </c>
      <c r="I824" s="31">
        <v>200000</v>
      </c>
      <c r="J824" s="166">
        <v>0</v>
      </c>
      <c r="K824" s="336">
        <f>J824/I824*100</f>
        <v>0</v>
      </c>
    </row>
    <row r="825" spans="1:11" ht="15">
      <c r="A825" s="36"/>
      <c r="B825" s="91"/>
      <c r="C825" s="91"/>
      <c r="D825" s="34"/>
      <c r="E825" s="34"/>
      <c r="F825" s="26">
        <f t="shared" si="52"/>
        <v>810</v>
      </c>
      <c r="G825" s="77"/>
      <c r="H825" s="205"/>
      <c r="I825" s="205"/>
      <c r="J825" s="252"/>
      <c r="K825" s="337"/>
    </row>
    <row r="826" spans="1:11" ht="15">
      <c r="A826" s="256" t="s">
        <v>823</v>
      </c>
      <c r="B826" s="69">
        <f>B827</f>
        <v>15000</v>
      </c>
      <c r="C826" s="69">
        <f>C827</f>
        <v>62000</v>
      </c>
      <c r="D826" s="70">
        <f>D827</f>
        <v>56700</v>
      </c>
      <c r="E826" s="70">
        <f>D826/C826*100</f>
        <v>91.45161290322581</v>
      </c>
      <c r="F826" s="26">
        <f t="shared" si="52"/>
        <v>811</v>
      </c>
      <c r="G826" s="68" t="s">
        <v>824</v>
      </c>
      <c r="H826" s="69">
        <f>SUM(H827:H843)</f>
        <v>1120400</v>
      </c>
      <c r="I826" s="69">
        <f>SUM(I827:I843)</f>
        <v>1400400</v>
      </c>
      <c r="J826" s="70">
        <f>SUM(J827:J843)</f>
        <v>1310877.91</v>
      </c>
      <c r="K826" s="216">
        <f aca="true" t="shared" si="54" ref="K826:K843">J826/I826*100</f>
        <v>93.60739145958297</v>
      </c>
    </row>
    <row r="827" spans="1:11" ht="15">
      <c r="A827" s="257" t="s">
        <v>825</v>
      </c>
      <c r="B827" s="23">
        <v>15000</v>
      </c>
      <c r="C827" s="23">
        <v>62000</v>
      </c>
      <c r="D827" s="25">
        <v>56700</v>
      </c>
      <c r="E827" s="25">
        <f>D827/C827*100</f>
        <v>91.45161290322581</v>
      </c>
      <c r="F827" s="26">
        <f t="shared" si="52"/>
        <v>812</v>
      </c>
      <c r="G827" s="148" t="s">
        <v>826</v>
      </c>
      <c r="H827" s="31">
        <v>700000</v>
      </c>
      <c r="I827" s="31">
        <f>700000+150000</f>
        <v>850000</v>
      </c>
      <c r="J827" s="150">
        <v>842860</v>
      </c>
      <c r="K827" s="336">
        <f t="shared" si="54"/>
        <v>99.16</v>
      </c>
    </row>
    <row r="828" spans="1:11" ht="15">
      <c r="A828" s="36"/>
      <c r="B828" s="91"/>
      <c r="C828" s="91"/>
      <c r="D828" s="34"/>
      <c r="E828" s="34"/>
      <c r="F828" s="26">
        <f t="shared" si="52"/>
        <v>813</v>
      </c>
      <c r="G828" s="148" t="s">
        <v>827</v>
      </c>
      <c r="H828" s="31">
        <v>175000</v>
      </c>
      <c r="I828" s="31">
        <v>216500</v>
      </c>
      <c r="J828" s="150">
        <v>216470</v>
      </c>
      <c r="K828" s="336">
        <f t="shared" si="54"/>
        <v>99.98614318706697</v>
      </c>
    </row>
    <row r="829" spans="1:11" ht="15">
      <c r="A829" s="36"/>
      <c r="B829" s="91"/>
      <c r="C829" s="91"/>
      <c r="D829" s="34"/>
      <c r="E829" s="34"/>
      <c r="F829" s="26">
        <f t="shared" si="52"/>
        <v>814</v>
      </c>
      <c r="G829" s="148" t="s">
        <v>828</v>
      </c>
      <c r="H829" s="31">
        <v>63000</v>
      </c>
      <c r="I829" s="31">
        <v>78000</v>
      </c>
      <c r="J829" s="150">
        <v>77905</v>
      </c>
      <c r="K829" s="336">
        <f t="shared" si="54"/>
        <v>99.87820512820514</v>
      </c>
    </row>
    <row r="830" spans="1:11" ht="15">
      <c r="A830" s="36"/>
      <c r="B830" s="91"/>
      <c r="C830" s="91"/>
      <c r="D830" s="34"/>
      <c r="E830" s="34"/>
      <c r="F830" s="26">
        <f t="shared" si="52"/>
        <v>815</v>
      </c>
      <c r="G830" s="77" t="s">
        <v>829</v>
      </c>
      <c r="H830" s="31">
        <v>20000</v>
      </c>
      <c r="I830" s="31">
        <f>20000+0+0+0+25000</f>
        <v>45000</v>
      </c>
      <c r="J830" s="150">
        <v>40967</v>
      </c>
      <c r="K830" s="336">
        <f t="shared" si="54"/>
        <v>91.03777777777778</v>
      </c>
    </row>
    <row r="831" spans="1:11" ht="15">
      <c r="A831" s="36"/>
      <c r="B831" s="91"/>
      <c r="C831" s="91"/>
      <c r="D831" s="34"/>
      <c r="E831" s="34"/>
      <c r="F831" s="26">
        <f t="shared" si="52"/>
        <v>816</v>
      </c>
      <c r="G831" s="77" t="s">
        <v>830</v>
      </c>
      <c r="H831" s="31">
        <v>2000</v>
      </c>
      <c r="I831" s="31">
        <v>2000</v>
      </c>
      <c r="J831" s="150">
        <v>0</v>
      </c>
      <c r="K831" s="336">
        <f t="shared" si="54"/>
        <v>0</v>
      </c>
    </row>
    <row r="832" spans="1:11" ht="15">
      <c r="A832" s="36"/>
      <c r="B832" s="91"/>
      <c r="C832" s="91"/>
      <c r="D832" s="34"/>
      <c r="E832" s="34"/>
      <c r="F832" s="26">
        <f t="shared" si="52"/>
        <v>817</v>
      </c>
      <c r="G832" s="77" t="s">
        <v>831</v>
      </c>
      <c r="H832" s="31">
        <v>20000</v>
      </c>
      <c r="I832" s="31">
        <v>20000</v>
      </c>
      <c r="J832" s="150">
        <v>14637</v>
      </c>
      <c r="K832" s="336">
        <f t="shared" si="54"/>
        <v>73.185</v>
      </c>
    </row>
    <row r="833" spans="1:11" ht="15">
      <c r="A833" s="36"/>
      <c r="B833" s="91"/>
      <c r="C833" s="91"/>
      <c r="D833" s="34"/>
      <c r="E833" s="34"/>
      <c r="F833" s="26">
        <f t="shared" si="52"/>
        <v>818</v>
      </c>
      <c r="G833" s="77" t="s">
        <v>832</v>
      </c>
      <c r="H833" s="31">
        <v>15000</v>
      </c>
      <c r="I833" s="31">
        <v>15000</v>
      </c>
      <c r="J833" s="150">
        <v>3946</v>
      </c>
      <c r="K833" s="336">
        <f t="shared" si="54"/>
        <v>26.30666666666667</v>
      </c>
    </row>
    <row r="834" spans="1:11" ht="15">
      <c r="A834" s="36"/>
      <c r="B834" s="91"/>
      <c r="C834" s="91"/>
      <c r="D834" s="34"/>
      <c r="E834" s="34"/>
      <c r="F834" s="26">
        <f t="shared" si="52"/>
        <v>819</v>
      </c>
      <c r="G834" s="77" t="s">
        <v>833</v>
      </c>
      <c r="H834" s="31">
        <v>30000</v>
      </c>
      <c r="I834" s="31">
        <v>30000</v>
      </c>
      <c r="J834" s="150">
        <v>6532.9</v>
      </c>
      <c r="K834" s="336">
        <f t="shared" si="54"/>
        <v>21.77633333333333</v>
      </c>
    </row>
    <row r="835" spans="1:11" ht="15">
      <c r="A835" s="36"/>
      <c r="B835" s="91"/>
      <c r="C835" s="91"/>
      <c r="D835" s="34"/>
      <c r="E835" s="34"/>
      <c r="F835" s="26">
        <f t="shared" si="52"/>
        <v>820</v>
      </c>
      <c r="G835" s="77" t="s">
        <v>834</v>
      </c>
      <c r="H835" s="31">
        <v>3000</v>
      </c>
      <c r="I835" s="31">
        <v>3000</v>
      </c>
      <c r="J835" s="150">
        <v>2375.47</v>
      </c>
      <c r="K835" s="336">
        <f t="shared" si="54"/>
        <v>79.18233333333332</v>
      </c>
    </row>
    <row r="836" spans="1:11" ht="15">
      <c r="A836" s="36"/>
      <c r="B836" s="91"/>
      <c r="C836" s="91"/>
      <c r="D836" s="34"/>
      <c r="E836" s="34"/>
      <c r="F836" s="26">
        <f t="shared" si="52"/>
        <v>821</v>
      </c>
      <c r="G836" s="94" t="s">
        <v>835</v>
      </c>
      <c r="H836" s="31">
        <v>20000</v>
      </c>
      <c r="I836" s="31">
        <v>14500</v>
      </c>
      <c r="J836" s="150">
        <v>970</v>
      </c>
      <c r="K836" s="336">
        <f t="shared" si="54"/>
        <v>6.689655172413793</v>
      </c>
    </row>
    <row r="837" spans="1:11" ht="15">
      <c r="A837" s="36"/>
      <c r="B837" s="91"/>
      <c r="C837" s="91"/>
      <c r="D837" s="34"/>
      <c r="E837" s="34"/>
      <c r="F837" s="26">
        <f t="shared" si="52"/>
        <v>822</v>
      </c>
      <c r="G837" s="77" t="s">
        <v>836</v>
      </c>
      <c r="H837" s="31">
        <v>0</v>
      </c>
      <c r="I837" s="31">
        <f>0+0+30000</f>
        <v>30000</v>
      </c>
      <c r="J837" s="150">
        <v>24200</v>
      </c>
      <c r="K837" s="336">
        <f t="shared" si="54"/>
        <v>80.66666666666666</v>
      </c>
    </row>
    <row r="838" spans="1:11" ht="15">
      <c r="A838" s="36"/>
      <c r="B838" s="91"/>
      <c r="C838" s="91"/>
      <c r="D838" s="34"/>
      <c r="E838" s="34"/>
      <c r="F838" s="26">
        <f t="shared" si="52"/>
        <v>823</v>
      </c>
      <c r="G838" s="94" t="s">
        <v>837</v>
      </c>
      <c r="H838" s="31">
        <v>5000</v>
      </c>
      <c r="I838" s="31">
        <v>5000</v>
      </c>
      <c r="J838" s="150">
        <v>2195</v>
      </c>
      <c r="K838" s="336">
        <f t="shared" si="54"/>
        <v>43.9</v>
      </c>
    </row>
    <row r="839" spans="1:11" ht="15">
      <c r="A839" s="36"/>
      <c r="B839" s="91"/>
      <c r="C839" s="91"/>
      <c r="D839" s="34"/>
      <c r="E839" s="34"/>
      <c r="F839" s="26">
        <f t="shared" si="52"/>
        <v>824</v>
      </c>
      <c r="G839" s="94" t="s">
        <v>838</v>
      </c>
      <c r="H839" s="31">
        <v>5000</v>
      </c>
      <c r="I839" s="31">
        <v>24000</v>
      </c>
      <c r="J839" s="150">
        <v>17755.54</v>
      </c>
      <c r="K839" s="336">
        <f t="shared" si="54"/>
        <v>73.98141666666666</v>
      </c>
    </row>
    <row r="840" spans="1:11" ht="15">
      <c r="A840" s="36"/>
      <c r="B840" s="91"/>
      <c r="C840" s="91"/>
      <c r="D840" s="34"/>
      <c r="E840" s="34"/>
      <c r="F840" s="26">
        <f t="shared" si="52"/>
        <v>825</v>
      </c>
      <c r="G840" s="156" t="s">
        <v>839</v>
      </c>
      <c r="H840" s="137">
        <v>48400</v>
      </c>
      <c r="I840" s="137">
        <v>48400</v>
      </c>
      <c r="J840" s="157">
        <v>48400</v>
      </c>
      <c r="K840" s="343">
        <f t="shared" si="54"/>
        <v>100</v>
      </c>
    </row>
    <row r="841" spans="1:11" ht="15">
      <c r="A841" s="36"/>
      <c r="B841" s="91"/>
      <c r="C841" s="91"/>
      <c r="D841" s="34"/>
      <c r="E841" s="34"/>
      <c r="F841" s="26">
        <f t="shared" si="52"/>
        <v>826</v>
      </c>
      <c r="G841" s="94" t="s">
        <v>840</v>
      </c>
      <c r="H841" s="31">
        <v>5000</v>
      </c>
      <c r="I841" s="31">
        <v>5000</v>
      </c>
      <c r="J841" s="150">
        <v>0</v>
      </c>
      <c r="K841" s="336">
        <f t="shared" si="54"/>
        <v>0</v>
      </c>
    </row>
    <row r="842" spans="1:11" ht="15">
      <c r="A842" s="36"/>
      <c r="B842" s="91"/>
      <c r="C842" s="91"/>
      <c r="D842" s="34"/>
      <c r="E842" s="34"/>
      <c r="F842" s="26">
        <f t="shared" si="52"/>
        <v>827</v>
      </c>
      <c r="G842" s="94" t="s">
        <v>841</v>
      </c>
      <c r="H842" s="31">
        <v>1000</v>
      </c>
      <c r="I842" s="31">
        <v>1000</v>
      </c>
      <c r="J842" s="150">
        <v>588</v>
      </c>
      <c r="K842" s="336">
        <f t="shared" si="54"/>
        <v>58.8</v>
      </c>
    </row>
    <row r="843" spans="1:11" ht="15">
      <c r="A843" s="36"/>
      <c r="B843" s="91"/>
      <c r="C843" s="91"/>
      <c r="D843" s="34"/>
      <c r="E843" s="34"/>
      <c r="F843" s="26">
        <f t="shared" si="52"/>
        <v>828</v>
      </c>
      <c r="G843" s="77" t="s">
        <v>842</v>
      </c>
      <c r="H843" s="31">
        <v>8000</v>
      </c>
      <c r="I843" s="31">
        <f>8000+5000</f>
        <v>13000</v>
      </c>
      <c r="J843" s="150">
        <v>11076</v>
      </c>
      <c r="K843" s="336">
        <f t="shared" si="54"/>
        <v>85.2</v>
      </c>
    </row>
    <row r="844" spans="1:11" ht="15">
      <c r="A844" s="36"/>
      <c r="B844" s="91"/>
      <c r="C844" s="91"/>
      <c r="D844" s="34"/>
      <c r="E844" s="34"/>
      <c r="F844" s="26">
        <f t="shared" si="52"/>
        <v>829</v>
      </c>
      <c r="G844" s="77"/>
      <c r="H844" s="186"/>
      <c r="I844" s="186"/>
      <c r="J844" s="158"/>
      <c r="K844" s="337"/>
    </row>
    <row r="845" spans="1:11" ht="15">
      <c r="A845" s="36"/>
      <c r="B845" s="91"/>
      <c r="C845" s="91"/>
      <c r="D845" s="34"/>
      <c r="E845" s="34"/>
      <c r="F845" s="26">
        <f t="shared" si="52"/>
        <v>830</v>
      </c>
      <c r="G845" s="68" t="s">
        <v>843</v>
      </c>
      <c r="H845" s="69">
        <f>SUM(H846:H849)</f>
        <v>0</v>
      </c>
      <c r="I845" s="69">
        <f>SUM(I846:I849)</f>
        <v>73000</v>
      </c>
      <c r="J845" s="70">
        <f>SUM(J846:J849)</f>
        <v>73000</v>
      </c>
      <c r="K845" s="216">
        <f>J845/I845*100</f>
        <v>100</v>
      </c>
    </row>
    <row r="846" spans="1:11" ht="15">
      <c r="A846" s="36"/>
      <c r="B846" s="91"/>
      <c r="C846" s="91"/>
      <c r="D846" s="34"/>
      <c r="E846" s="34"/>
      <c r="F846" s="26">
        <f t="shared" si="52"/>
        <v>831</v>
      </c>
      <c r="G846" s="77" t="s">
        <v>844</v>
      </c>
      <c r="H846" s="31">
        <v>0</v>
      </c>
      <c r="I846" s="31">
        <f>0+30000</f>
        <v>30000</v>
      </c>
      <c r="J846" s="150">
        <v>30000</v>
      </c>
      <c r="K846" s="336">
        <f>J846/I846*100</f>
        <v>100</v>
      </c>
    </row>
    <row r="847" spans="1:11" ht="15">
      <c r="A847" s="36"/>
      <c r="B847" s="91"/>
      <c r="C847" s="91"/>
      <c r="D847" s="34"/>
      <c r="E847" s="34"/>
      <c r="F847" s="26">
        <f t="shared" si="52"/>
        <v>832</v>
      </c>
      <c r="G847" s="148" t="s">
        <v>845</v>
      </c>
      <c r="H847" s="31">
        <v>0</v>
      </c>
      <c r="I847" s="31">
        <f>0+0+0+0+0+0+0+22000</f>
        <v>22000</v>
      </c>
      <c r="J847" s="150">
        <v>22000</v>
      </c>
      <c r="K847" s="336">
        <f>J847/I847*100</f>
        <v>100</v>
      </c>
    </row>
    <row r="848" spans="1:11" ht="15">
      <c r="A848" s="36"/>
      <c r="B848" s="91"/>
      <c r="C848" s="91"/>
      <c r="D848" s="34"/>
      <c r="E848" s="34"/>
      <c r="F848" s="26">
        <f t="shared" si="52"/>
        <v>833</v>
      </c>
      <c r="G848" s="77" t="s">
        <v>846</v>
      </c>
      <c r="H848" s="31">
        <v>0</v>
      </c>
      <c r="I848" s="31">
        <f>0+18200+900</f>
        <v>19100</v>
      </c>
      <c r="J848" s="150">
        <v>19076</v>
      </c>
      <c r="K848" s="336">
        <f>J848/I848*100</f>
        <v>99.87434554973822</v>
      </c>
    </row>
    <row r="849" spans="1:11" ht="15">
      <c r="A849" s="36"/>
      <c r="B849" s="91"/>
      <c r="C849" s="91"/>
      <c r="D849" s="34"/>
      <c r="E849" s="34"/>
      <c r="F849" s="26">
        <f t="shared" si="52"/>
        <v>834</v>
      </c>
      <c r="G849" s="148" t="s">
        <v>847</v>
      </c>
      <c r="H849" s="31">
        <v>0</v>
      </c>
      <c r="I849" s="31">
        <f>0+0+0+0+73000+0-22000-48200-900</f>
        <v>1900</v>
      </c>
      <c r="J849" s="150">
        <v>1924</v>
      </c>
      <c r="K849" s="336">
        <f>J849/I849*100</f>
        <v>101.26315789473684</v>
      </c>
    </row>
    <row r="850" spans="1:11" ht="15">
      <c r="A850" s="36"/>
      <c r="B850" s="91"/>
      <c r="C850" s="91"/>
      <c r="D850" s="34"/>
      <c r="E850" s="34"/>
      <c r="F850" s="26">
        <f t="shared" si="52"/>
        <v>835</v>
      </c>
      <c r="G850" s="77"/>
      <c r="H850" s="89"/>
      <c r="I850" s="89"/>
      <c r="J850" s="158"/>
      <c r="K850" s="337"/>
    </row>
    <row r="851" spans="1:11" ht="15">
      <c r="A851" s="36"/>
      <c r="B851" s="91"/>
      <c r="C851" s="91"/>
      <c r="D851" s="34"/>
      <c r="E851" s="34"/>
      <c r="F851" s="26">
        <f t="shared" si="52"/>
        <v>836</v>
      </c>
      <c r="G851" s="68" t="s">
        <v>848</v>
      </c>
      <c r="H851" s="69">
        <f>SUM(H852:H867)</f>
        <v>191200</v>
      </c>
      <c r="I851" s="69">
        <f>SUM(I852:I867)</f>
        <v>221200</v>
      </c>
      <c r="J851" s="70">
        <f>SUM(J852:J867)</f>
        <v>208707</v>
      </c>
      <c r="K851" s="216">
        <f aca="true" t="shared" si="55" ref="K851:K865">J851/I851*100</f>
        <v>94.35216998191682</v>
      </c>
    </row>
    <row r="852" spans="1:11" ht="15">
      <c r="A852" s="36"/>
      <c r="B852" s="91"/>
      <c r="C852" s="91"/>
      <c r="D852" s="34"/>
      <c r="E852" s="34"/>
      <c r="F852" s="26">
        <f aca="true" t="shared" si="56" ref="F852:F915">F851+1</f>
        <v>837</v>
      </c>
      <c r="G852" s="77" t="s">
        <v>432</v>
      </c>
      <c r="H852" s="31">
        <v>15000</v>
      </c>
      <c r="I852" s="31">
        <v>15000</v>
      </c>
      <c r="J852" s="150">
        <v>11420</v>
      </c>
      <c r="K852" s="336">
        <f t="shared" si="55"/>
        <v>76.13333333333333</v>
      </c>
    </row>
    <row r="853" spans="1:11" ht="15">
      <c r="A853" s="36"/>
      <c r="B853" s="91"/>
      <c r="C853" s="91"/>
      <c r="D853" s="34"/>
      <c r="E853" s="34"/>
      <c r="F853" s="26">
        <f t="shared" si="56"/>
        <v>838</v>
      </c>
      <c r="G853" s="77" t="s">
        <v>111</v>
      </c>
      <c r="H853" s="31">
        <v>1000</v>
      </c>
      <c r="I853" s="31">
        <v>1000</v>
      </c>
      <c r="J853" s="150">
        <v>0</v>
      </c>
      <c r="K853" s="336">
        <f t="shared" si="55"/>
        <v>0</v>
      </c>
    </row>
    <row r="854" spans="1:11" ht="15">
      <c r="A854" s="36"/>
      <c r="B854" s="91"/>
      <c r="C854" s="91"/>
      <c r="D854" s="34"/>
      <c r="E854" s="34"/>
      <c r="F854" s="26">
        <f t="shared" si="56"/>
        <v>839</v>
      </c>
      <c r="G854" s="77" t="s">
        <v>849</v>
      </c>
      <c r="H854" s="31">
        <v>5000</v>
      </c>
      <c r="I854" s="31">
        <f>5000-5000</f>
        <v>0</v>
      </c>
      <c r="J854" s="150">
        <v>0</v>
      </c>
      <c r="K854" s="336" t="e">
        <f t="shared" si="55"/>
        <v>#DIV/0!</v>
      </c>
    </row>
    <row r="855" spans="1:11" ht="15">
      <c r="A855" s="36"/>
      <c r="B855" s="91"/>
      <c r="C855" s="91"/>
      <c r="D855" s="34"/>
      <c r="E855" s="34"/>
      <c r="F855" s="26">
        <f t="shared" si="56"/>
        <v>840</v>
      </c>
      <c r="G855" s="77" t="s">
        <v>850</v>
      </c>
      <c r="H855" s="31">
        <v>70000</v>
      </c>
      <c r="I855" s="31">
        <f>70000+0-70000</f>
        <v>0</v>
      </c>
      <c r="J855" s="150">
        <v>0</v>
      </c>
      <c r="K855" s="336" t="e">
        <f t="shared" si="55"/>
        <v>#DIV/0!</v>
      </c>
    </row>
    <row r="856" spans="1:11" ht="15">
      <c r="A856" s="36"/>
      <c r="B856" s="91"/>
      <c r="C856" s="91"/>
      <c r="D856" s="34"/>
      <c r="E856" s="34"/>
      <c r="F856" s="26">
        <f t="shared" si="56"/>
        <v>841</v>
      </c>
      <c r="G856" s="77" t="s">
        <v>136</v>
      </c>
      <c r="H856" s="31">
        <v>5000</v>
      </c>
      <c r="I856" s="31">
        <f>5000-900</f>
        <v>4100</v>
      </c>
      <c r="J856" s="150">
        <v>0</v>
      </c>
      <c r="K856" s="336">
        <f t="shared" si="55"/>
        <v>0</v>
      </c>
    </row>
    <row r="857" spans="1:11" ht="15">
      <c r="A857" s="36"/>
      <c r="B857" s="91"/>
      <c r="C857" s="91"/>
      <c r="D857" s="34"/>
      <c r="E857" s="34"/>
      <c r="F857" s="26">
        <f t="shared" si="56"/>
        <v>842</v>
      </c>
      <c r="G857" s="77" t="s">
        <v>851</v>
      </c>
      <c r="H857" s="31">
        <v>30000</v>
      </c>
      <c r="I857" s="31">
        <f>30000+0-30000</f>
        <v>0</v>
      </c>
      <c r="J857" s="150">
        <v>0</v>
      </c>
      <c r="K857" s="336" t="e">
        <f t="shared" si="55"/>
        <v>#DIV/0!</v>
      </c>
    </row>
    <row r="858" spans="1:11" ht="15">
      <c r="A858" s="36"/>
      <c r="B858" s="91"/>
      <c r="C858" s="91"/>
      <c r="D858" s="34"/>
      <c r="E858" s="34"/>
      <c r="F858" s="26">
        <f t="shared" si="56"/>
        <v>843</v>
      </c>
      <c r="G858" s="77" t="s">
        <v>588</v>
      </c>
      <c r="H858" s="31">
        <v>2000</v>
      </c>
      <c r="I858" s="31">
        <v>2000</v>
      </c>
      <c r="J858" s="150">
        <v>0</v>
      </c>
      <c r="K858" s="336">
        <f t="shared" si="55"/>
        <v>0</v>
      </c>
    </row>
    <row r="859" spans="1:11" ht="15">
      <c r="A859" s="36"/>
      <c r="B859" s="91"/>
      <c r="C859" s="91"/>
      <c r="D859" s="34"/>
      <c r="E859" s="34"/>
      <c r="F859" s="26">
        <f t="shared" si="56"/>
        <v>844</v>
      </c>
      <c r="G859" s="77" t="s">
        <v>852</v>
      </c>
      <c r="H859" s="31">
        <v>7000</v>
      </c>
      <c r="I859" s="31">
        <f>7000+0-7000</f>
        <v>0</v>
      </c>
      <c r="J859" s="150">
        <v>0</v>
      </c>
      <c r="K859" s="336" t="e">
        <f t="shared" si="55"/>
        <v>#DIV/0!</v>
      </c>
    </row>
    <row r="860" spans="1:11" ht="15">
      <c r="A860" s="36"/>
      <c r="B860" s="91"/>
      <c r="C860" s="91"/>
      <c r="D860" s="34"/>
      <c r="E860" s="34"/>
      <c r="F860" s="26">
        <f t="shared" si="56"/>
        <v>845</v>
      </c>
      <c r="G860" s="77" t="s">
        <v>853</v>
      </c>
      <c r="H860" s="31">
        <v>4000</v>
      </c>
      <c r="I860" s="31">
        <v>4000</v>
      </c>
      <c r="J860" s="150">
        <v>3852</v>
      </c>
      <c r="K860" s="336">
        <f t="shared" si="55"/>
        <v>96.3</v>
      </c>
    </row>
    <row r="861" spans="1:11" ht="15">
      <c r="A861" s="36"/>
      <c r="B861" s="91"/>
      <c r="C861" s="91"/>
      <c r="D861" s="34"/>
      <c r="E861" s="34"/>
      <c r="F861" s="26">
        <f t="shared" si="56"/>
        <v>846</v>
      </c>
      <c r="G861" s="77" t="s">
        <v>854</v>
      </c>
      <c r="H861" s="31">
        <v>4700</v>
      </c>
      <c r="I861" s="31">
        <v>4700</v>
      </c>
      <c r="J861" s="150">
        <v>4632</v>
      </c>
      <c r="K861" s="336">
        <f t="shared" si="55"/>
        <v>98.55319148936171</v>
      </c>
    </row>
    <row r="862" spans="1:11" ht="15">
      <c r="A862" s="36"/>
      <c r="B862" s="91"/>
      <c r="C862" s="91"/>
      <c r="D862" s="34"/>
      <c r="E862" s="34"/>
      <c r="F862" s="26">
        <f t="shared" si="56"/>
        <v>847</v>
      </c>
      <c r="G862" s="77" t="s">
        <v>855</v>
      </c>
      <c r="H862" s="31">
        <v>1500</v>
      </c>
      <c r="I862" s="31">
        <v>1500</v>
      </c>
      <c r="J862" s="150">
        <v>0</v>
      </c>
      <c r="K862" s="336">
        <f t="shared" si="55"/>
        <v>0</v>
      </c>
    </row>
    <row r="863" spans="1:11" ht="15">
      <c r="A863" s="36"/>
      <c r="B863" s="91"/>
      <c r="C863" s="91"/>
      <c r="D863" s="34"/>
      <c r="E863" s="34"/>
      <c r="F863" s="26">
        <f t="shared" si="56"/>
        <v>848</v>
      </c>
      <c r="G863" s="77" t="s">
        <v>116</v>
      </c>
      <c r="H863" s="31">
        <v>5000</v>
      </c>
      <c r="I863" s="31">
        <f>5000-5000</f>
        <v>0</v>
      </c>
      <c r="J863" s="150">
        <v>0</v>
      </c>
      <c r="K863" s="336" t="e">
        <f t="shared" si="55"/>
        <v>#DIV/0!</v>
      </c>
    </row>
    <row r="864" spans="1:11" ht="15">
      <c r="A864" s="36"/>
      <c r="B864" s="91"/>
      <c r="C864" s="91"/>
      <c r="D864" s="34"/>
      <c r="E864" s="34"/>
      <c r="F864" s="26">
        <f t="shared" si="56"/>
        <v>849</v>
      </c>
      <c r="G864" s="77" t="s">
        <v>856</v>
      </c>
      <c r="H864" s="31">
        <v>12000</v>
      </c>
      <c r="I864" s="31">
        <f>12000+0+4000</f>
        <v>16000</v>
      </c>
      <c r="J864" s="150">
        <v>15990</v>
      </c>
      <c r="K864" s="336">
        <f>J864/I864*100</f>
        <v>99.9375</v>
      </c>
    </row>
    <row r="865" spans="1:11" ht="15">
      <c r="A865" s="36"/>
      <c r="B865" s="91"/>
      <c r="C865" s="91"/>
      <c r="D865" s="34"/>
      <c r="E865" s="34"/>
      <c r="F865" s="26">
        <f t="shared" si="56"/>
        <v>850</v>
      </c>
      <c r="G865" s="77" t="s">
        <v>857</v>
      </c>
      <c r="H865" s="31">
        <v>20000</v>
      </c>
      <c r="I865" s="31">
        <f>20000+10900</f>
        <v>30900</v>
      </c>
      <c r="J865" s="150">
        <v>30813</v>
      </c>
      <c r="K865" s="336">
        <f t="shared" si="55"/>
        <v>99.71844660194175</v>
      </c>
    </row>
    <row r="866" spans="1:11" ht="15">
      <c r="A866" s="36"/>
      <c r="B866" s="91"/>
      <c r="C866" s="91"/>
      <c r="D866" s="34"/>
      <c r="E866" s="34"/>
      <c r="F866" s="26">
        <f t="shared" si="56"/>
        <v>851</v>
      </c>
      <c r="G866" s="77" t="s">
        <v>858</v>
      </c>
      <c r="H866" s="31">
        <v>9000</v>
      </c>
      <c r="I866" s="31">
        <f>9000+0-9000</f>
        <v>0</v>
      </c>
      <c r="J866" s="150">
        <v>0</v>
      </c>
      <c r="K866" s="336" t="e">
        <f>J866/I866*100</f>
        <v>#DIV/0!</v>
      </c>
    </row>
    <row r="867" spans="1:11" ht="15">
      <c r="A867" s="36"/>
      <c r="B867" s="91"/>
      <c r="C867" s="91"/>
      <c r="D867" s="34"/>
      <c r="E867" s="34"/>
      <c r="F867" s="26">
        <f t="shared" si="56"/>
        <v>852</v>
      </c>
      <c r="G867" s="77" t="s">
        <v>859</v>
      </c>
      <c r="H867" s="31">
        <v>0</v>
      </c>
      <c r="I867" s="31">
        <f>0+0+142000</f>
        <v>142000</v>
      </c>
      <c r="J867" s="150">
        <v>142000</v>
      </c>
      <c r="K867" s="336">
        <f>J867/I867*100</f>
        <v>100</v>
      </c>
    </row>
    <row r="868" spans="1:11" ht="15">
      <c r="A868" s="36"/>
      <c r="B868" s="91"/>
      <c r="C868" s="91"/>
      <c r="D868" s="34"/>
      <c r="E868" s="34"/>
      <c r="F868" s="26">
        <f t="shared" si="56"/>
        <v>853</v>
      </c>
      <c r="G868" s="77"/>
      <c r="H868" s="78"/>
      <c r="I868" s="78"/>
      <c r="J868" s="79"/>
      <c r="K868" s="337"/>
    </row>
    <row r="869" spans="1:11" ht="15">
      <c r="A869" s="125" t="s">
        <v>860</v>
      </c>
      <c r="B869" s="69">
        <f>SUM(B870:B871)</f>
        <v>40000</v>
      </c>
      <c r="C869" s="69">
        <f>SUM(C870:C871)</f>
        <v>10000</v>
      </c>
      <c r="D869" s="70">
        <f>SUM(D870:D871)</f>
        <v>0</v>
      </c>
      <c r="E869" s="93">
        <f>D869/C869*100</f>
        <v>0</v>
      </c>
      <c r="F869" s="26">
        <f t="shared" si="56"/>
        <v>854</v>
      </c>
      <c r="G869" s="68" t="s">
        <v>861</v>
      </c>
      <c r="H869" s="69">
        <f>SUM(H870:H874)</f>
        <v>583000</v>
      </c>
      <c r="I869" s="69">
        <f>SUM(I870:I874)</f>
        <v>73000</v>
      </c>
      <c r="J869" s="70">
        <f>SUM(J870:J874)</f>
        <v>42795.1</v>
      </c>
      <c r="K869" s="216">
        <f aca="true" t="shared" si="57" ref="K869:K874">J869/I869*100</f>
        <v>58.62342465753424</v>
      </c>
    </row>
    <row r="870" spans="1:11" ht="15">
      <c r="A870" s="128" t="s">
        <v>862</v>
      </c>
      <c r="B870" s="23">
        <v>20000</v>
      </c>
      <c r="C870" s="23">
        <f>20000-10000</f>
        <v>10000</v>
      </c>
      <c r="D870" s="73">
        <v>0</v>
      </c>
      <c r="E870" s="25">
        <f>D870/C870*100</f>
        <v>0</v>
      </c>
      <c r="F870" s="26">
        <f t="shared" si="56"/>
        <v>855</v>
      </c>
      <c r="G870" s="77" t="s">
        <v>863</v>
      </c>
      <c r="H870" s="31">
        <v>15000</v>
      </c>
      <c r="I870" s="31">
        <f>15000-10000</f>
        <v>5000</v>
      </c>
      <c r="J870" s="150">
        <v>4814</v>
      </c>
      <c r="K870" s="336">
        <f t="shared" si="57"/>
        <v>96.28</v>
      </c>
    </row>
    <row r="871" spans="1:11" ht="15">
      <c r="A871" s="128" t="s">
        <v>864</v>
      </c>
      <c r="B871" s="23">
        <v>20000</v>
      </c>
      <c r="C871" s="23">
        <f>20000-20000</f>
        <v>0</v>
      </c>
      <c r="D871" s="73">
        <v>0</v>
      </c>
      <c r="E871" s="25" t="e">
        <f>D871/C871*100</f>
        <v>#DIV/0!</v>
      </c>
      <c r="F871" s="26">
        <f t="shared" si="56"/>
        <v>856</v>
      </c>
      <c r="G871" s="77" t="s">
        <v>865</v>
      </c>
      <c r="H871" s="31">
        <v>15000</v>
      </c>
      <c r="I871" s="31">
        <v>15000</v>
      </c>
      <c r="J871" s="150">
        <v>9849.4</v>
      </c>
      <c r="K871" s="336">
        <f t="shared" si="57"/>
        <v>65.66266666666667</v>
      </c>
    </row>
    <row r="872" spans="1:11" ht="15">
      <c r="A872" s="36"/>
      <c r="B872" s="91"/>
      <c r="C872" s="91"/>
      <c r="D872" s="34"/>
      <c r="E872" s="34"/>
      <c r="F872" s="26">
        <f t="shared" si="56"/>
        <v>857</v>
      </c>
      <c r="G872" s="77" t="s">
        <v>866</v>
      </c>
      <c r="H872" s="31">
        <v>30000</v>
      </c>
      <c r="I872" s="31">
        <f>30000-20000</f>
        <v>10000</v>
      </c>
      <c r="J872" s="150">
        <v>3351.7</v>
      </c>
      <c r="K872" s="336">
        <f t="shared" si="57"/>
        <v>33.516999999999996</v>
      </c>
    </row>
    <row r="873" spans="1:11" ht="15">
      <c r="A873" s="36"/>
      <c r="B873" s="91"/>
      <c r="C873" s="91"/>
      <c r="D873" s="34"/>
      <c r="E873" s="34"/>
      <c r="F873" s="26">
        <f t="shared" si="56"/>
        <v>858</v>
      </c>
      <c r="G873" s="77" t="s">
        <v>867</v>
      </c>
      <c r="H873" s="31">
        <v>3000</v>
      </c>
      <c r="I873" s="31">
        <v>3000</v>
      </c>
      <c r="J873" s="150">
        <v>3000</v>
      </c>
      <c r="K873" s="336">
        <f t="shared" si="57"/>
        <v>100</v>
      </c>
    </row>
    <row r="874" spans="1:11" ht="15">
      <c r="A874" s="36"/>
      <c r="B874" s="91"/>
      <c r="C874" s="91"/>
      <c r="D874" s="34"/>
      <c r="E874" s="34"/>
      <c r="F874" s="26">
        <f t="shared" si="56"/>
        <v>859</v>
      </c>
      <c r="G874" s="77" t="s">
        <v>868</v>
      </c>
      <c r="H874" s="31">
        <v>520000</v>
      </c>
      <c r="I874" s="31">
        <f>520000-480000</f>
        <v>40000</v>
      </c>
      <c r="J874" s="150">
        <v>21780</v>
      </c>
      <c r="K874" s="336">
        <f t="shared" si="57"/>
        <v>54.449999999999996</v>
      </c>
    </row>
    <row r="875" spans="1:11" ht="15">
      <c r="A875" s="36"/>
      <c r="B875" s="91"/>
      <c r="C875" s="91"/>
      <c r="D875" s="34"/>
      <c r="E875" s="34"/>
      <c r="F875" s="26">
        <f t="shared" si="56"/>
        <v>860</v>
      </c>
      <c r="G875" s="77"/>
      <c r="H875" s="89"/>
      <c r="I875" s="89"/>
      <c r="J875" s="158"/>
      <c r="K875" s="337"/>
    </row>
    <row r="876" spans="1:11" ht="15">
      <c r="A876" s="36"/>
      <c r="B876" s="91"/>
      <c r="C876" s="91"/>
      <c r="D876" s="34"/>
      <c r="E876" s="34"/>
      <c r="F876" s="26">
        <f t="shared" si="56"/>
        <v>861</v>
      </c>
      <c r="G876" s="68" t="s">
        <v>869</v>
      </c>
      <c r="H876" s="69">
        <f>SUM(H877:H880)</f>
        <v>1908000</v>
      </c>
      <c r="I876" s="69">
        <f>SUM(I877:I880)</f>
        <v>1908000</v>
      </c>
      <c r="J876" s="70">
        <f>SUM(J877:J880)</f>
        <v>1861889</v>
      </c>
      <c r="K876" s="216">
        <f>J876/I876*100</f>
        <v>97.58328092243187</v>
      </c>
    </row>
    <row r="877" spans="1:11" ht="15">
      <c r="A877" s="36"/>
      <c r="B877" s="91"/>
      <c r="C877" s="91"/>
      <c r="D877" s="34"/>
      <c r="E877" s="34"/>
      <c r="F877" s="26">
        <f t="shared" si="56"/>
        <v>862</v>
      </c>
      <c r="G877" s="77" t="s">
        <v>870</v>
      </c>
      <c r="H877" s="31">
        <v>1490000</v>
      </c>
      <c r="I877" s="31">
        <v>1490000</v>
      </c>
      <c r="J877" s="150">
        <v>1446754</v>
      </c>
      <c r="K877" s="336">
        <f>J877/I877*100</f>
        <v>97.09758389261745</v>
      </c>
    </row>
    <row r="878" spans="1:11" ht="15">
      <c r="A878" s="36"/>
      <c r="B878" s="91"/>
      <c r="C878" s="91"/>
      <c r="D878" s="34"/>
      <c r="E878" s="34"/>
      <c r="F878" s="26">
        <f t="shared" si="56"/>
        <v>863</v>
      </c>
      <c r="G878" s="77" t="s">
        <v>871</v>
      </c>
      <c r="H878" s="31">
        <v>281300</v>
      </c>
      <c r="I878" s="31">
        <v>281300</v>
      </c>
      <c r="J878" s="150">
        <v>280032</v>
      </c>
      <c r="K878" s="336">
        <f>J878/I878*100</f>
        <v>99.54923569143264</v>
      </c>
    </row>
    <row r="879" spans="1:11" ht="15">
      <c r="A879" s="36"/>
      <c r="B879" s="91"/>
      <c r="C879" s="91"/>
      <c r="D879" s="34"/>
      <c r="E879" s="34"/>
      <c r="F879" s="26">
        <f t="shared" si="56"/>
        <v>864</v>
      </c>
      <c r="G879" s="77" t="s">
        <v>872</v>
      </c>
      <c r="H879" s="31">
        <v>133700</v>
      </c>
      <c r="I879" s="31">
        <v>133700</v>
      </c>
      <c r="J879" s="150">
        <v>133173</v>
      </c>
      <c r="K879" s="336">
        <f>J879/I879*100</f>
        <v>99.60583395661929</v>
      </c>
    </row>
    <row r="880" spans="1:11" ht="15">
      <c r="A880" s="36"/>
      <c r="B880" s="91"/>
      <c r="C880" s="91"/>
      <c r="D880" s="34"/>
      <c r="E880" s="34"/>
      <c r="F880" s="26">
        <f t="shared" si="56"/>
        <v>865</v>
      </c>
      <c r="G880" s="77" t="s">
        <v>873</v>
      </c>
      <c r="H880" s="31">
        <v>3000</v>
      </c>
      <c r="I880" s="31">
        <v>3000</v>
      </c>
      <c r="J880" s="150">
        <v>1930</v>
      </c>
      <c r="K880" s="336">
        <f>J880/I880*100</f>
        <v>64.33333333333333</v>
      </c>
    </row>
    <row r="881" spans="1:11" ht="15">
      <c r="A881" s="36"/>
      <c r="B881" s="91"/>
      <c r="C881" s="91"/>
      <c r="D881" s="34"/>
      <c r="E881" s="34"/>
      <c r="F881" s="26">
        <f t="shared" si="56"/>
        <v>866</v>
      </c>
      <c r="G881" s="77"/>
      <c r="H881" s="89"/>
      <c r="I881" s="89"/>
      <c r="J881" s="158"/>
      <c r="K881" s="337"/>
    </row>
    <row r="882" spans="1:11" ht="15">
      <c r="A882" s="92" t="s">
        <v>874</v>
      </c>
      <c r="B882" s="87">
        <f>SUM(B883:B893)</f>
        <v>6745600</v>
      </c>
      <c r="C882" s="87">
        <f>SUM(C883:C893)</f>
        <v>5884600</v>
      </c>
      <c r="D882" s="93">
        <f>SUM(D883:D893)</f>
        <v>6032702.390000001</v>
      </c>
      <c r="E882" s="93">
        <f aca="true" t="shared" si="58" ref="E882:E891">D882/C882*100</f>
        <v>102.51677922033784</v>
      </c>
      <c r="F882" s="26">
        <f t="shared" si="56"/>
        <v>867</v>
      </c>
      <c r="G882" s="68" t="s">
        <v>874</v>
      </c>
      <c r="H882" s="69">
        <f>SUM(H883:H998)</f>
        <v>38638700</v>
      </c>
      <c r="I882" s="69">
        <f>SUM(I883:I998)</f>
        <v>45133200</v>
      </c>
      <c r="J882" s="70">
        <f>SUM(J883:J998)</f>
        <v>43506190.24000002</v>
      </c>
      <c r="K882" s="216">
        <f aca="true" t="shared" si="59" ref="K882:K963">J882/I882*100</f>
        <v>96.39509327944843</v>
      </c>
    </row>
    <row r="883" spans="1:11" ht="15">
      <c r="A883" s="94" t="s">
        <v>875</v>
      </c>
      <c r="B883" s="23">
        <v>100</v>
      </c>
      <c r="C883" s="23">
        <v>4000</v>
      </c>
      <c r="D883" s="25">
        <v>4000</v>
      </c>
      <c r="E883" s="258">
        <f t="shared" si="58"/>
        <v>100</v>
      </c>
      <c r="F883" s="26">
        <f t="shared" si="56"/>
        <v>868</v>
      </c>
      <c r="G883" s="77" t="s">
        <v>876</v>
      </c>
      <c r="H883" s="31">
        <v>15900000</v>
      </c>
      <c r="I883" s="31">
        <f>15900000+0+0+0+0+0+0-2300-4100</f>
        <v>15893600</v>
      </c>
      <c r="J883" s="73">
        <v>15745520</v>
      </c>
      <c r="K883" s="336">
        <f t="shared" si="59"/>
        <v>99.0683042230835</v>
      </c>
    </row>
    <row r="884" spans="1:11" ht="15">
      <c r="A884" s="259" t="s">
        <v>877</v>
      </c>
      <c r="B884" s="260">
        <v>10000</v>
      </c>
      <c r="C884" s="260">
        <v>23500</v>
      </c>
      <c r="D884" s="261">
        <v>23415</v>
      </c>
      <c r="E884" s="25">
        <f t="shared" si="58"/>
        <v>99.63829787234042</v>
      </c>
      <c r="F884" s="26">
        <f t="shared" si="56"/>
        <v>869</v>
      </c>
      <c r="G884" s="77" t="s">
        <v>878</v>
      </c>
      <c r="H884" s="31">
        <v>12000</v>
      </c>
      <c r="I884" s="31">
        <v>12000</v>
      </c>
      <c r="J884" s="73">
        <v>8400</v>
      </c>
      <c r="K884" s="336">
        <f t="shared" si="59"/>
        <v>70</v>
      </c>
    </row>
    <row r="885" spans="1:11" ht="15">
      <c r="A885" s="94" t="s">
        <v>879</v>
      </c>
      <c r="B885" s="23">
        <v>15000</v>
      </c>
      <c r="C885" s="23">
        <v>9200</v>
      </c>
      <c r="D885" s="25">
        <v>9182</v>
      </c>
      <c r="E885" s="25">
        <f t="shared" si="58"/>
        <v>99.80434782608695</v>
      </c>
      <c r="F885" s="26">
        <f t="shared" si="56"/>
        <v>870</v>
      </c>
      <c r="G885" s="77" t="s">
        <v>880</v>
      </c>
      <c r="H885" s="31">
        <v>0</v>
      </c>
      <c r="I885" s="31">
        <v>908900</v>
      </c>
      <c r="J885" s="73">
        <v>908883</v>
      </c>
      <c r="K885" s="336">
        <f t="shared" si="59"/>
        <v>99.9981296072175</v>
      </c>
    </row>
    <row r="886" spans="1:11" ht="15">
      <c r="A886" s="94" t="s">
        <v>881</v>
      </c>
      <c r="B886" s="23">
        <v>6500000</v>
      </c>
      <c r="C886" s="23">
        <v>5155700</v>
      </c>
      <c r="D886" s="25">
        <v>5304657.67</v>
      </c>
      <c r="E886" s="25">
        <f t="shared" si="58"/>
        <v>102.88918420389084</v>
      </c>
      <c r="F886" s="26">
        <f t="shared" si="56"/>
        <v>871</v>
      </c>
      <c r="G886" s="77" t="s">
        <v>882</v>
      </c>
      <c r="H886" s="31">
        <v>0</v>
      </c>
      <c r="I886" s="31">
        <f>0+0+0+0+0+0+0+0+0+144000</f>
        <v>144000</v>
      </c>
      <c r="J886" s="73">
        <v>144030</v>
      </c>
      <c r="K886" s="336">
        <f t="shared" si="59"/>
        <v>100.02083333333334</v>
      </c>
    </row>
    <row r="887" spans="1:11" ht="15">
      <c r="A887" s="94" t="s">
        <v>883</v>
      </c>
      <c r="B887" s="23">
        <v>500</v>
      </c>
      <c r="C887" s="23">
        <v>500</v>
      </c>
      <c r="D887" s="25">
        <v>0</v>
      </c>
      <c r="E887" s="25">
        <f t="shared" si="58"/>
        <v>0</v>
      </c>
      <c r="F887" s="26">
        <f t="shared" si="56"/>
        <v>872</v>
      </c>
      <c r="G887" s="77" t="s">
        <v>884</v>
      </c>
      <c r="H887" s="31">
        <v>0</v>
      </c>
      <c r="I887" s="31">
        <f>0+0+0+2700+0+3200+0+3100+1800</f>
        <v>10800</v>
      </c>
      <c r="J887" s="73">
        <v>10800</v>
      </c>
      <c r="K887" s="336">
        <f t="shared" si="59"/>
        <v>100</v>
      </c>
    </row>
    <row r="888" spans="1:11" ht="15">
      <c r="A888" s="135" t="s">
        <v>885</v>
      </c>
      <c r="B888" s="23">
        <v>0</v>
      </c>
      <c r="C888" s="23">
        <f>0+0+0+0+4500+6700</f>
        <v>11200</v>
      </c>
      <c r="D888" s="25">
        <v>11114</v>
      </c>
      <c r="E888" s="25">
        <f t="shared" si="58"/>
        <v>99.23214285714286</v>
      </c>
      <c r="F888" s="26">
        <f t="shared" si="56"/>
        <v>873</v>
      </c>
      <c r="G888" s="77" t="s">
        <v>886</v>
      </c>
      <c r="H888" s="31">
        <v>0</v>
      </c>
      <c r="I888" s="31">
        <f>0+0+0+15300+0+17900+0+17800+10200</f>
        <v>61200</v>
      </c>
      <c r="J888" s="73">
        <v>61200</v>
      </c>
      <c r="K888" s="336">
        <f t="shared" si="59"/>
        <v>100</v>
      </c>
    </row>
    <row r="889" spans="1:11" ht="15">
      <c r="A889" s="94" t="s">
        <v>887</v>
      </c>
      <c r="B889" s="23">
        <v>200000</v>
      </c>
      <c r="C889" s="23">
        <v>654400</v>
      </c>
      <c r="D889" s="25">
        <v>654343.06</v>
      </c>
      <c r="E889" s="25">
        <f t="shared" si="58"/>
        <v>99.9912988997555</v>
      </c>
      <c r="F889" s="26">
        <f t="shared" si="56"/>
        <v>874</v>
      </c>
      <c r="G889" s="77" t="s">
        <v>888</v>
      </c>
      <c r="H889" s="31">
        <v>520000</v>
      </c>
      <c r="I889" s="31">
        <f>520000+55000</f>
        <v>575000</v>
      </c>
      <c r="J889" s="73">
        <v>557580</v>
      </c>
      <c r="K889" s="336">
        <f t="shared" si="59"/>
        <v>96.97043478260869</v>
      </c>
    </row>
    <row r="890" spans="1:11" ht="15">
      <c r="A890" s="94" t="s">
        <v>889</v>
      </c>
      <c r="B890" s="23">
        <v>10000</v>
      </c>
      <c r="C890" s="23">
        <v>9300</v>
      </c>
      <c r="D890" s="25">
        <v>9265.66</v>
      </c>
      <c r="E890" s="262">
        <f t="shared" si="58"/>
        <v>99.63075268817204</v>
      </c>
      <c r="F890" s="26">
        <f t="shared" si="56"/>
        <v>875</v>
      </c>
      <c r="G890" s="77" t="s">
        <v>890</v>
      </c>
      <c r="H890" s="31">
        <v>30000</v>
      </c>
      <c r="I890" s="31">
        <v>30000</v>
      </c>
      <c r="J890" s="73">
        <v>12750</v>
      </c>
      <c r="K890" s="336">
        <f t="shared" si="59"/>
        <v>42.5</v>
      </c>
    </row>
    <row r="891" spans="1:11" ht="15">
      <c r="A891" s="94" t="s">
        <v>891</v>
      </c>
      <c r="B891" s="23">
        <v>10000</v>
      </c>
      <c r="C891" s="23">
        <v>16800</v>
      </c>
      <c r="D891" s="25">
        <v>16725</v>
      </c>
      <c r="E891" s="25">
        <f t="shared" si="58"/>
        <v>99.55357142857143</v>
      </c>
      <c r="F891" s="26">
        <f t="shared" si="56"/>
        <v>876</v>
      </c>
      <c r="G891" s="77" t="s">
        <v>892</v>
      </c>
      <c r="H891" s="31">
        <v>0</v>
      </c>
      <c r="I891" s="31">
        <f>0+0+26000+17200+0+8700+0+8600+0+8600+8700</f>
        <v>77800</v>
      </c>
      <c r="J891" s="73">
        <v>77724.9</v>
      </c>
      <c r="K891" s="336">
        <f t="shared" si="59"/>
        <v>99.90347043701799</v>
      </c>
    </row>
    <row r="892" spans="1:11" ht="15">
      <c r="A892" s="97"/>
      <c r="B892" s="138"/>
      <c r="C892" s="138" t="s">
        <v>893</v>
      </c>
      <c r="D892" s="130"/>
      <c r="E892" s="130"/>
      <c r="F892" s="26">
        <f t="shared" si="56"/>
        <v>877</v>
      </c>
      <c r="G892" s="77" t="s">
        <v>894</v>
      </c>
      <c r="H892" s="31">
        <v>0</v>
      </c>
      <c r="I892" s="31">
        <f>0+0+146900+97800+0+49000+0+48900+0+0+49000+48900</f>
        <v>440500</v>
      </c>
      <c r="J892" s="73">
        <v>440441.1</v>
      </c>
      <c r="K892" s="336">
        <f t="shared" si="59"/>
        <v>99.986628830874</v>
      </c>
    </row>
    <row r="893" spans="1:11" ht="15">
      <c r="A893" s="36"/>
      <c r="B893" s="91"/>
      <c r="C893" s="91"/>
      <c r="D893" s="34"/>
      <c r="E893" s="34"/>
      <c r="F893" s="26">
        <f t="shared" si="56"/>
        <v>878</v>
      </c>
      <c r="G893" s="77" t="s">
        <v>895</v>
      </c>
      <c r="H893" s="31">
        <v>4040000</v>
      </c>
      <c r="I893" s="31">
        <v>4090000</v>
      </c>
      <c r="J893" s="73">
        <v>4089926</v>
      </c>
      <c r="K893" s="336">
        <f t="shared" si="59"/>
        <v>99.99819070904645</v>
      </c>
    </row>
    <row r="894" spans="1:11" ht="15">
      <c r="A894" s="36"/>
      <c r="B894" s="91"/>
      <c r="C894" s="91"/>
      <c r="D894" s="34"/>
      <c r="E894" s="34"/>
      <c r="F894" s="26">
        <f t="shared" si="56"/>
        <v>879</v>
      </c>
      <c r="G894" s="77" t="s">
        <v>896</v>
      </c>
      <c r="H894" s="31">
        <v>0</v>
      </c>
      <c r="I894" s="31">
        <v>227200</v>
      </c>
      <c r="J894" s="73">
        <v>227219</v>
      </c>
      <c r="K894" s="336">
        <f t="shared" si="59"/>
        <v>100.00836267605632</v>
      </c>
    </row>
    <row r="895" spans="1:11" ht="15">
      <c r="A895" s="36"/>
      <c r="B895" s="91"/>
      <c r="C895" s="91"/>
      <c r="D895" s="34"/>
      <c r="E895" s="34"/>
      <c r="F895" s="26">
        <f t="shared" si="56"/>
        <v>880</v>
      </c>
      <c r="G895" s="77" t="s">
        <v>897</v>
      </c>
      <c r="H895" s="31">
        <v>0</v>
      </c>
      <c r="I895" s="31">
        <f>0+0+0+0+0+0+0+0+0+36000</f>
        <v>36000</v>
      </c>
      <c r="J895" s="73">
        <v>36007</v>
      </c>
      <c r="K895" s="336">
        <f t="shared" si="59"/>
        <v>100.01944444444445</v>
      </c>
    </row>
    <row r="896" spans="1:11" ht="15">
      <c r="A896" s="36"/>
      <c r="B896" s="91"/>
      <c r="C896" s="91"/>
      <c r="D896" s="34"/>
      <c r="E896" s="34"/>
      <c r="F896" s="26">
        <f t="shared" si="56"/>
        <v>881</v>
      </c>
      <c r="G896" s="77" t="s">
        <v>898</v>
      </c>
      <c r="H896" s="31">
        <v>0</v>
      </c>
      <c r="I896" s="31">
        <f>0+0+5700+3800+0+1900+0+1900+0+0+1900+1900</f>
        <v>17100</v>
      </c>
      <c r="J896" s="73">
        <v>17068.05</v>
      </c>
      <c r="K896" s="336">
        <f t="shared" si="59"/>
        <v>99.81315789473683</v>
      </c>
    </row>
    <row r="897" spans="1:11" ht="15">
      <c r="A897" s="36"/>
      <c r="B897" s="91"/>
      <c r="C897" s="91"/>
      <c r="D897" s="34"/>
      <c r="E897" s="34"/>
      <c r="F897" s="26">
        <f t="shared" si="56"/>
        <v>882</v>
      </c>
      <c r="G897" s="77" t="s">
        <v>899</v>
      </c>
      <c r="H897" s="31">
        <v>0</v>
      </c>
      <c r="I897" s="31">
        <f>0+0+32300+21500+0+10700+0+10800+0+0+10700+10800</f>
        <v>96800</v>
      </c>
      <c r="J897" s="73">
        <v>96718.95</v>
      </c>
      <c r="K897" s="336">
        <f t="shared" si="59"/>
        <v>99.91627066115703</v>
      </c>
    </row>
    <row r="898" spans="1:11" ht="15">
      <c r="A898" s="36"/>
      <c r="B898" s="91"/>
      <c r="C898" s="91"/>
      <c r="D898" s="34"/>
      <c r="E898" s="34"/>
      <c r="F898" s="26">
        <f t="shared" si="56"/>
        <v>883</v>
      </c>
      <c r="G898" s="77" t="s">
        <v>900</v>
      </c>
      <c r="H898" s="31">
        <v>1455000</v>
      </c>
      <c r="I898" s="31">
        <v>1472300</v>
      </c>
      <c r="J898" s="73">
        <v>1472252</v>
      </c>
      <c r="K898" s="336">
        <f t="shared" si="59"/>
        <v>99.99673979487876</v>
      </c>
    </row>
    <row r="899" spans="1:11" ht="15">
      <c r="A899" s="36"/>
      <c r="B899" s="91"/>
      <c r="C899" s="91"/>
      <c r="D899" s="34"/>
      <c r="E899" s="233"/>
      <c r="F899" s="26">
        <f t="shared" si="56"/>
        <v>884</v>
      </c>
      <c r="G899" s="77" t="s">
        <v>901</v>
      </c>
      <c r="H899" s="31">
        <v>0</v>
      </c>
      <c r="I899" s="31">
        <v>81800</v>
      </c>
      <c r="J899" s="73">
        <v>81798</v>
      </c>
      <c r="K899" s="336">
        <f t="shared" si="59"/>
        <v>99.99755501222494</v>
      </c>
    </row>
    <row r="900" spans="1:11" ht="15">
      <c r="A900" s="36"/>
      <c r="B900" s="91"/>
      <c r="C900" s="91"/>
      <c r="D900" s="34"/>
      <c r="E900" s="233"/>
      <c r="F900" s="26">
        <f t="shared" si="56"/>
        <v>885</v>
      </c>
      <c r="G900" s="77" t="s">
        <v>902</v>
      </c>
      <c r="H900" s="31">
        <v>0</v>
      </c>
      <c r="I900" s="31">
        <f>0+0+0+0+0+0+0+0+0+13000</f>
        <v>13000</v>
      </c>
      <c r="J900" s="73">
        <v>12963</v>
      </c>
      <c r="K900" s="336">
        <f t="shared" si="59"/>
        <v>99.71538461538462</v>
      </c>
    </row>
    <row r="901" spans="1:11" ht="15">
      <c r="A901" s="36"/>
      <c r="B901" s="91"/>
      <c r="C901" s="91"/>
      <c r="D901" s="34"/>
      <c r="E901" s="34"/>
      <c r="F901" s="26">
        <f t="shared" si="56"/>
        <v>886</v>
      </c>
      <c r="G901" s="77" t="s">
        <v>903</v>
      </c>
      <c r="H901" s="31">
        <v>0</v>
      </c>
      <c r="I901" s="31">
        <f>0+0+2100+1400+0+600+0+700+0+0+700+700</f>
        <v>6200</v>
      </c>
      <c r="J901" s="73">
        <v>6146.55</v>
      </c>
      <c r="K901" s="336">
        <f t="shared" si="59"/>
        <v>99.13790322580645</v>
      </c>
    </row>
    <row r="902" spans="1:11" ht="15">
      <c r="A902" s="36"/>
      <c r="B902" s="91"/>
      <c r="C902" s="91"/>
      <c r="D902" s="34"/>
      <c r="E902" s="34"/>
      <c r="F902" s="26">
        <f t="shared" si="56"/>
        <v>887</v>
      </c>
      <c r="G902" s="77" t="s">
        <v>904</v>
      </c>
      <c r="H902" s="31">
        <v>0</v>
      </c>
      <c r="I902" s="31">
        <f>0+0+11700+7700+0+3900+0+3800+0+0+3900+3900</f>
        <v>34900</v>
      </c>
      <c r="J902" s="73">
        <v>34830.45</v>
      </c>
      <c r="K902" s="336">
        <f t="shared" si="59"/>
        <v>99.80071633237822</v>
      </c>
    </row>
    <row r="903" spans="1:11" ht="15">
      <c r="A903" s="36"/>
      <c r="B903" s="91"/>
      <c r="C903" s="91"/>
      <c r="D903" s="34"/>
      <c r="E903" s="34"/>
      <c r="F903" s="26">
        <f t="shared" si="56"/>
        <v>888</v>
      </c>
      <c r="G903" s="77" t="s">
        <v>905</v>
      </c>
      <c r="H903" s="31">
        <v>0</v>
      </c>
      <c r="I903" s="31">
        <f>0+0+100000+5400</f>
        <v>105400</v>
      </c>
      <c r="J903" s="73">
        <v>105366</v>
      </c>
      <c r="K903" s="336">
        <f t="shared" si="59"/>
        <v>99.96774193548387</v>
      </c>
    </row>
    <row r="904" spans="1:11" ht="15">
      <c r="A904" s="36"/>
      <c r="B904" s="91"/>
      <c r="C904" s="91"/>
      <c r="D904" s="34"/>
      <c r="E904" s="34"/>
      <c r="F904" s="26">
        <f t="shared" si="56"/>
        <v>889</v>
      </c>
      <c r="G904" s="77" t="s">
        <v>434</v>
      </c>
      <c r="H904" s="31">
        <v>0</v>
      </c>
      <c r="I904" s="31">
        <f>0+0+0+0+0+0+0+400</f>
        <v>400</v>
      </c>
      <c r="J904" s="73">
        <v>360</v>
      </c>
      <c r="K904" s="336">
        <f t="shared" si="59"/>
        <v>90</v>
      </c>
    </row>
    <row r="905" spans="1:11" ht="15">
      <c r="A905" s="36"/>
      <c r="B905" s="91"/>
      <c r="C905" s="91"/>
      <c r="D905" s="91"/>
      <c r="E905" s="91"/>
      <c r="F905" s="26">
        <f t="shared" si="56"/>
        <v>890</v>
      </c>
      <c r="G905" s="77" t="s">
        <v>906</v>
      </c>
      <c r="H905" s="31">
        <v>6000</v>
      </c>
      <c r="I905" s="31">
        <v>6000</v>
      </c>
      <c r="J905" s="73">
        <v>2400</v>
      </c>
      <c r="K905" s="336">
        <f t="shared" si="59"/>
        <v>40</v>
      </c>
    </row>
    <row r="906" spans="1:11" ht="15">
      <c r="A906" s="36"/>
      <c r="B906" s="91"/>
      <c r="C906" s="91"/>
      <c r="D906" s="91"/>
      <c r="E906" s="91"/>
      <c r="F906" s="26">
        <f t="shared" si="56"/>
        <v>891</v>
      </c>
      <c r="G906" s="77" t="s">
        <v>907</v>
      </c>
      <c r="H906" s="31">
        <v>5000</v>
      </c>
      <c r="I906" s="31">
        <v>5000</v>
      </c>
      <c r="J906" s="73">
        <v>3141</v>
      </c>
      <c r="K906" s="336">
        <f t="shared" si="59"/>
        <v>62.82</v>
      </c>
    </row>
    <row r="907" spans="1:11" ht="15">
      <c r="A907" s="58"/>
      <c r="B907" s="91"/>
      <c r="C907" s="91"/>
      <c r="D907" s="57"/>
      <c r="E907" s="60"/>
      <c r="F907" s="26">
        <f t="shared" si="56"/>
        <v>892</v>
      </c>
      <c r="G907" s="77" t="s">
        <v>908</v>
      </c>
      <c r="H907" s="31">
        <v>70000</v>
      </c>
      <c r="I907" s="31">
        <v>70000</v>
      </c>
      <c r="J907" s="73">
        <v>34832</v>
      </c>
      <c r="K907" s="336">
        <f t="shared" si="59"/>
        <v>49.76</v>
      </c>
    </row>
    <row r="908" spans="1:11" ht="15">
      <c r="A908" s="58"/>
      <c r="B908" s="91"/>
      <c r="C908" s="91"/>
      <c r="D908" s="57"/>
      <c r="E908" s="60"/>
      <c r="F908" s="26">
        <f t="shared" si="56"/>
        <v>893</v>
      </c>
      <c r="G908" s="77" t="s">
        <v>909</v>
      </c>
      <c r="H908" s="31"/>
      <c r="I908" s="31">
        <v>1800</v>
      </c>
      <c r="J908" s="73">
        <v>1798</v>
      </c>
      <c r="K908" s="336">
        <f t="shared" si="59"/>
        <v>99.8888888888889</v>
      </c>
    </row>
    <row r="909" spans="1:11" ht="15">
      <c r="A909" s="36"/>
      <c r="B909" s="91"/>
      <c r="C909" s="91"/>
      <c r="D909" s="34"/>
      <c r="E909" s="34"/>
      <c r="F909" s="26">
        <f t="shared" si="56"/>
        <v>894</v>
      </c>
      <c r="G909" s="77" t="s">
        <v>910</v>
      </c>
      <c r="H909" s="31"/>
      <c r="I909" s="31">
        <f>0+900+0+0+0+400+0+0+0+0+100</f>
        <v>1400</v>
      </c>
      <c r="J909" s="73">
        <v>1392.3</v>
      </c>
      <c r="K909" s="336">
        <f t="shared" si="59"/>
        <v>99.44999999999999</v>
      </c>
    </row>
    <row r="910" spans="1:11" ht="15">
      <c r="A910" s="36"/>
      <c r="B910" s="91"/>
      <c r="C910" s="91"/>
      <c r="D910" s="34"/>
      <c r="E910" s="34"/>
      <c r="F910" s="26">
        <f t="shared" si="56"/>
        <v>895</v>
      </c>
      <c r="G910" s="77" t="s">
        <v>911</v>
      </c>
      <c r="H910" s="31"/>
      <c r="I910" s="31">
        <f>0+4900+0+0+0+2500+0+0+0+0+500</f>
        <v>7900</v>
      </c>
      <c r="J910" s="73">
        <v>7889.7</v>
      </c>
      <c r="K910" s="336">
        <f t="shared" si="59"/>
        <v>99.86962025316456</v>
      </c>
    </row>
    <row r="911" spans="1:11" ht="15">
      <c r="A911" s="36"/>
      <c r="B911" s="91"/>
      <c r="C911" s="91"/>
      <c r="D911" s="34"/>
      <c r="E911" s="34"/>
      <c r="F911" s="26">
        <f t="shared" si="56"/>
        <v>896</v>
      </c>
      <c r="G911" s="77" t="s">
        <v>912</v>
      </c>
      <c r="H911" s="31">
        <v>400000</v>
      </c>
      <c r="I911" s="31">
        <f>400000+0+0+0+0+0+0+0+0+0+50000+72200</f>
        <v>522200</v>
      </c>
      <c r="J911" s="263">
        <v>445727.09</v>
      </c>
      <c r="K911" s="336">
        <f t="shared" si="59"/>
        <v>85.35562811183455</v>
      </c>
    </row>
    <row r="912" spans="1:11" ht="15">
      <c r="A912" s="36"/>
      <c r="B912" s="91"/>
      <c r="C912" s="91"/>
      <c r="D912" s="34"/>
      <c r="E912" s="34"/>
      <c r="F912" s="26">
        <f t="shared" si="56"/>
        <v>897</v>
      </c>
      <c r="G912" s="77" t="s">
        <v>913</v>
      </c>
      <c r="H912" s="31">
        <v>0</v>
      </c>
      <c r="I912" s="31">
        <f>0+0+0+0+0+0+0+0+0+0+1000</f>
        <v>1000</v>
      </c>
      <c r="J912" s="73">
        <v>929.4</v>
      </c>
      <c r="K912" s="336">
        <f t="shared" si="59"/>
        <v>92.94</v>
      </c>
    </row>
    <row r="913" spans="1:11" ht="15">
      <c r="A913" s="36"/>
      <c r="B913" s="91"/>
      <c r="C913" s="91"/>
      <c r="D913" s="34"/>
      <c r="E913" s="34"/>
      <c r="F913" s="26">
        <f t="shared" si="56"/>
        <v>898</v>
      </c>
      <c r="G913" s="77" t="s">
        <v>914</v>
      </c>
      <c r="H913" s="31">
        <v>0</v>
      </c>
      <c r="I913" s="31">
        <v>228100</v>
      </c>
      <c r="J913" s="73">
        <v>228088.98</v>
      </c>
      <c r="K913" s="336">
        <f t="shared" si="59"/>
        <v>99.99516878562035</v>
      </c>
    </row>
    <row r="914" spans="1:11" ht="15">
      <c r="A914" s="36"/>
      <c r="B914" s="91"/>
      <c r="C914" s="91"/>
      <c r="D914" s="34"/>
      <c r="E914" s="34"/>
      <c r="F914" s="26">
        <f t="shared" si="56"/>
        <v>899</v>
      </c>
      <c r="G914" s="77" t="s">
        <v>915</v>
      </c>
      <c r="H914" s="31">
        <v>0</v>
      </c>
      <c r="I914" s="31">
        <f>0+0+0+600</f>
        <v>600</v>
      </c>
      <c r="J914" s="73">
        <v>543</v>
      </c>
      <c r="K914" s="336">
        <f t="shared" si="59"/>
        <v>90.5</v>
      </c>
    </row>
    <row r="915" spans="1:11" ht="15">
      <c r="A915" s="36"/>
      <c r="B915" s="91"/>
      <c r="C915" s="91"/>
      <c r="D915" s="34"/>
      <c r="E915" s="34"/>
      <c r="F915" s="26">
        <f t="shared" si="56"/>
        <v>900</v>
      </c>
      <c r="G915" s="77" t="s">
        <v>916</v>
      </c>
      <c r="H915" s="31">
        <v>0</v>
      </c>
      <c r="I915" s="31">
        <f>0+0+0+3100</f>
        <v>3100</v>
      </c>
      <c r="J915" s="73">
        <v>3077</v>
      </c>
      <c r="K915" s="336">
        <f t="shared" si="59"/>
        <v>99.25806451612902</v>
      </c>
    </row>
    <row r="916" spans="1:11" ht="15">
      <c r="A916" s="36"/>
      <c r="B916" s="91"/>
      <c r="C916" s="91"/>
      <c r="D916" s="34"/>
      <c r="E916" s="34"/>
      <c r="F916" s="26">
        <f aca="true" t="shared" si="60" ref="F916:F979">F915+1</f>
        <v>901</v>
      </c>
      <c r="G916" s="77" t="s">
        <v>917</v>
      </c>
      <c r="H916" s="31">
        <v>0</v>
      </c>
      <c r="I916" s="31">
        <f>0+0+0+0+0+0+0+0+0+0+5300</f>
        <v>5300</v>
      </c>
      <c r="J916" s="73">
        <v>5266.6</v>
      </c>
      <c r="K916" s="336">
        <f t="shared" si="59"/>
        <v>99.36981132075472</v>
      </c>
    </row>
    <row r="917" spans="1:11" ht="15">
      <c r="A917" s="36"/>
      <c r="B917" s="91"/>
      <c r="C917" s="91"/>
      <c r="D917" s="34"/>
      <c r="E917" s="34"/>
      <c r="F917" s="26">
        <f t="shared" si="60"/>
        <v>902</v>
      </c>
      <c r="G917" s="77" t="s">
        <v>918</v>
      </c>
      <c r="H917" s="31">
        <v>0</v>
      </c>
      <c r="I917" s="31">
        <v>36300</v>
      </c>
      <c r="J917" s="73">
        <v>33427</v>
      </c>
      <c r="K917" s="336">
        <f t="shared" si="59"/>
        <v>92.0853994490358</v>
      </c>
    </row>
    <row r="918" spans="1:11" ht="15">
      <c r="A918" s="36"/>
      <c r="B918" s="91"/>
      <c r="C918" s="91"/>
      <c r="D918" s="34"/>
      <c r="E918" s="34"/>
      <c r="F918" s="26">
        <f t="shared" si="60"/>
        <v>903</v>
      </c>
      <c r="G918" s="77" t="s">
        <v>919</v>
      </c>
      <c r="H918" s="31">
        <v>36300</v>
      </c>
      <c r="I918" s="31">
        <v>0</v>
      </c>
      <c r="J918" s="73">
        <v>0</v>
      </c>
      <c r="K918" s="336" t="e">
        <f t="shared" si="59"/>
        <v>#DIV/0!</v>
      </c>
    </row>
    <row r="919" spans="1:11" ht="15">
      <c r="A919" s="36"/>
      <c r="B919" s="91"/>
      <c r="C919" s="91"/>
      <c r="D919" s="34"/>
      <c r="E919" s="34"/>
      <c r="F919" s="26">
        <f t="shared" si="60"/>
        <v>904</v>
      </c>
      <c r="G919" s="77" t="s">
        <v>920</v>
      </c>
      <c r="H919" s="31">
        <v>250000</v>
      </c>
      <c r="I919" s="31">
        <v>294600</v>
      </c>
      <c r="J919" s="73">
        <v>258428.82</v>
      </c>
      <c r="K919" s="336">
        <f t="shared" si="59"/>
        <v>87.72193482688392</v>
      </c>
    </row>
    <row r="920" spans="1:11" ht="15">
      <c r="A920" s="36"/>
      <c r="B920" s="91"/>
      <c r="C920" s="91"/>
      <c r="D920" s="34"/>
      <c r="E920" s="34"/>
      <c r="F920" s="26">
        <f t="shared" si="60"/>
        <v>905</v>
      </c>
      <c r="G920" s="77" t="s">
        <v>1101</v>
      </c>
      <c r="H920" s="31">
        <v>0</v>
      </c>
      <c r="I920" s="31">
        <v>3100</v>
      </c>
      <c r="J920" s="73">
        <v>3089.6</v>
      </c>
      <c r="K920" s="336">
        <f>J920/I920*100</f>
        <v>99.66451612903225</v>
      </c>
    </row>
    <row r="921" spans="1:11" ht="15">
      <c r="A921" s="36"/>
      <c r="B921" s="91"/>
      <c r="C921" s="91"/>
      <c r="D921" s="34"/>
      <c r="E921" s="34"/>
      <c r="F921" s="26">
        <f t="shared" si="60"/>
        <v>906</v>
      </c>
      <c r="G921" s="77" t="s">
        <v>921</v>
      </c>
      <c r="H921" s="31">
        <v>400000</v>
      </c>
      <c r="I921" s="31">
        <f>400000+0+0+0+35800</f>
        <v>435800</v>
      </c>
      <c r="J921" s="73">
        <v>354712.43</v>
      </c>
      <c r="K921" s="336">
        <f t="shared" si="59"/>
        <v>81.393398347866</v>
      </c>
    </row>
    <row r="922" spans="1:11" ht="15">
      <c r="A922" s="36"/>
      <c r="B922" s="91"/>
      <c r="C922" s="91"/>
      <c r="D922" s="34"/>
      <c r="E922" s="34"/>
      <c r="F922" s="26">
        <f t="shared" si="60"/>
        <v>907</v>
      </c>
      <c r="G922" s="77" t="s">
        <v>922</v>
      </c>
      <c r="H922" s="31">
        <v>130000</v>
      </c>
      <c r="I922" s="31">
        <v>130000</v>
      </c>
      <c r="J922" s="73">
        <v>121051</v>
      </c>
      <c r="K922" s="336">
        <f t="shared" si="59"/>
        <v>93.11615384615385</v>
      </c>
    </row>
    <row r="923" spans="1:11" ht="15">
      <c r="A923" s="36"/>
      <c r="B923" s="91"/>
      <c r="C923" s="91"/>
      <c r="D923" s="34"/>
      <c r="E923" s="34"/>
      <c r="F923" s="26">
        <f t="shared" si="60"/>
        <v>908</v>
      </c>
      <c r="G923" s="77" t="s">
        <v>923</v>
      </c>
      <c r="H923" s="31">
        <v>0</v>
      </c>
      <c r="I923" s="31">
        <v>72400</v>
      </c>
      <c r="J923" s="73">
        <v>72432.02</v>
      </c>
      <c r="K923" s="336">
        <f t="shared" si="59"/>
        <v>100.04422651933702</v>
      </c>
    </row>
    <row r="924" spans="1:11" ht="15">
      <c r="A924" s="36"/>
      <c r="B924" s="91"/>
      <c r="C924" s="91"/>
      <c r="D924" s="34"/>
      <c r="E924" s="34"/>
      <c r="F924" s="26">
        <f t="shared" si="60"/>
        <v>909</v>
      </c>
      <c r="G924" s="77" t="s">
        <v>924</v>
      </c>
      <c r="H924" s="31">
        <v>0</v>
      </c>
      <c r="I924" s="31">
        <v>10300</v>
      </c>
      <c r="J924" s="73">
        <v>10280.78</v>
      </c>
      <c r="K924" s="336">
        <f t="shared" si="59"/>
        <v>99.81339805825243</v>
      </c>
    </row>
    <row r="925" spans="1:11" ht="15">
      <c r="A925" s="36"/>
      <c r="B925" s="91"/>
      <c r="C925" s="91"/>
      <c r="D925" s="34"/>
      <c r="E925" s="34"/>
      <c r="F925" s="26">
        <f t="shared" si="60"/>
        <v>910</v>
      </c>
      <c r="G925" s="77" t="s">
        <v>925</v>
      </c>
      <c r="H925" s="31">
        <v>0</v>
      </c>
      <c r="I925" s="31">
        <v>58300</v>
      </c>
      <c r="J925" s="73">
        <v>58258.12</v>
      </c>
      <c r="K925" s="336">
        <f t="shared" si="59"/>
        <v>99.92816466552316</v>
      </c>
    </row>
    <row r="926" spans="1:11" ht="15">
      <c r="A926" s="36"/>
      <c r="B926" s="91"/>
      <c r="C926" s="91"/>
      <c r="D926" s="34"/>
      <c r="E926" s="34"/>
      <c r="F926" s="26">
        <f t="shared" si="60"/>
        <v>911</v>
      </c>
      <c r="G926" s="77" t="s">
        <v>926</v>
      </c>
      <c r="H926" s="31">
        <v>5000</v>
      </c>
      <c r="I926" s="31">
        <v>5000</v>
      </c>
      <c r="J926" s="73">
        <v>3117.5</v>
      </c>
      <c r="K926" s="336">
        <f t="shared" si="59"/>
        <v>62.35000000000001</v>
      </c>
    </row>
    <row r="927" spans="1:11" ht="15">
      <c r="A927" s="36"/>
      <c r="B927" s="91"/>
      <c r="C927" s="91"/>
      <c r="D927" s="34"/>
      <c r="E927" s="34"/>
      <c r="F927" s="26">
        <f t="shared" si="60"/>
        <v>912</v>
      </c>
      <c r="G927" s="77" t="s">
        <v>927</v>
      </c>
      <c r="H927" s="31">
        <v>260000</v>
      </c>
      <c r="I927" s="31">
        <v>260000</v>
      </c>
      <c r="J927" s="73">
        <v>180850</v>
      </c>
      <c r="K927" s="336">
        <f t="shared" si="59"/>
        <v>69.5576923076923</v>
      </c>
    </row>
    <row r="928" spans="1:11" ht="15">
      <c r="A928" s="36"/>
      <c r="B928" s="91"/>
      <c r="C928" s="91"/>
      <c r="D928" s="34"/>
      <c r="E928" s="34"/>
      <c r="F928" s="26">
        <f t="shared" si="60"/>
        <v>913</v>
      </c>
      <c r="G928" s="77" t="s">
        <v>928</v>
      </c>
      <c r="H928" s="31">
        <v>600000</v>
      </c>
      <c r="I928" s="31">
        <f>600000-66000</f>
        <v>534000</v>
      </c>
      <c r="J928" s="73">
        <v>406837</v>
      </c>
      <c r="K928" s="336">
        <f t="shared" si="59"/>
        <v>76.18670411985019</v>
      </c>
    </row>
    <row r="929" spans="1:11" ht="15">
      <c r="A929" s="36"/>
      <c r="B929" s="91"/>
      <c r="C929" s="91"/>
      <c r="D929" s="34"/>
      <c r="E929" s="34"/>
      <c r="F929" s="26">
        <f t="shared" si="60"/>
        <v>914</v>
      </c>
      <c r="G929" s="77" t="s">
        <v>929</v>
      </c>
      <c r="H929" s="31">
        <v>450000</v>
      </c>
      <c r="I929" s="31">
        <v>450000</v>
      </c>
      <c r="J929" s="73">
        <v>378622.41</v>
      </c>
      <c r="K929" s="336">
        <f t="shared" si="59"/>
        <v>84.13831333333333</v>
      </c>
    </row>
    <row r="930" spans="1:11" ht="15">
      <c r="A930" s="36"/>
      <c r="B930" s="91"/>
      <c r="C930" s="91"/>
      <c r="D930" s="34"/>
      <c r="E930" s="34"/>
      <c r="F930" s="26">
        <f t="shared" si="60"/>
        <v>915</v>
      </c>
      <c r="G930" s="77" t="s">
        <v>930</v>
      </c>
      <c r="H930" s="31">
        <v>140000</v>
      </c>
      <c r="I930" s="31">
        <v>140000</v>
      </c>
      <c r="J930" s="73">
        <v>84903.26</v>
      </c>
      <c r="K930" s="336">
        <f t="shared" si="59"/>
        <v>60.64518571428571</v>
      </c>
    </row>
    <row r="931" spans="1:11" ht="15">
      <c r="A931" s="36"/>
      <c r="B931" s="91"/>
      <c r="C931" s="91"/>
      <c r="D931" s="34"/>
      <c r="E931" s="34"/>
      <c r="F931" s="26">
        <f t="shared" si="60"/>
        <v>916</v>
      </c>
      <c r="G931" s="77" t="s">
        <v>1102</v>
      </c>
      <c r="H931" s="31">
        <v>0</v>
      </c>
      <c r="I931" s="31">
        <v>15700</v>
      </c>
      <c r="J931" s="73">
        <v>15670</v>
      </c>
      <c r="K931" s="336">
        <f>J931/I931*100</f>
        <v>99.80891719745223</v>
      </c>
    </row>
    <row r="932" spans="1:11" ht="15">
      <c r="A932" s="36"/>
      <c r="B932" s="91"/>
      <c r="C932" s="91"/>
      <c r="D932" s="34"/>
      <c r="E932" s="34"/>
      <c r="F932" s="26">
        <f t="shared" si="60"/>
        <v>917</v>
      </c>
      <c r="G932" s="77" t="s">
        <v>931</v>
      </c>
      <c r="H932" s="31">
        <v>750000</v>
      </c>
      <c r="I932" s="31">
        <v>750900</v>
      </c>
      <c r="J932" s="73">
        <v>750886</v>
      </c>
      <c r="K932" s="336">
        <f t="shared" si="59"/>
        <v>99.99813557064854</v>
      </c>
    </row>
    <row r="933" spans="1:11" ht="15">
      <c r="A933" s="36"/>
      <c r="B933" s="91"/>
      <c r="C933" s="91"/>
      <c r="D933" s="34"/>
      <c r="E933" s="34"/>
      <c r="F933" s="26">
        <f t="shared" si="60"/>
        <v>918</v>
      </c>
      <c r="G933" s="77" t="s">
        <v>932</v>
      </c>
      <c r="H933" s="31">
        <v>260000</v>
      </c>
      <c r="I933" s="31">
        <v>350600</v>
      </c>
      <c r="J933" s="73">
        <v>350544.12</v>
      </c>
      <c r="K933" s="336">
        <f t="shared" si="59"/>
        <v>99.98406160867084</v>
      </c>
    </row>
    <row r="934" spans="1:11" ht="15">
      <c r="A934" s="36"/>
      <c r="B934" s="91"/>
      <c r="C934" s="91"/>
      <c r="D934" s="34"/>
      <c r="E934" s="34"/>
      <c r="F934" s="26">
        <f t="shared" si="60"/>
        <v>919</v>
      </c>
      <c r="G934" s="77" t="s">
        <v>933</v>
      </c>
      <c r="H934" s="31">
        <v>50000</v>
      </c>
      <c r="I934" s="31">
        <v>50000</v>
      </c>
      <c r="J934" s="73">
        <v>35683.45</v>
      </c>
      <c r="K934" s="336">
        <f t="shared" si="59"/>
        <v>71.36689999999999</v>
      </c>
    </row>
    <row r="935" spans="1:11" ht="15">
      <c r="A935" s="36"/>
      <c r="B935" s="91"/>
      <c r="C935" s="91"/>
      <c r="D935" s="34"/>
      <c r="E935" s="34"/>
      <c r="F935" s="26">
        <f t="shared" si="60"/>
        <v>920</v>
      </c>
      <c r="G935" s="77" t="s">
        <v>1103</v>
      </c>
      <c r="H935" s="31">
        <v>0</v>
      </c>
      <c r="I935" s="31">
        <v>3700</v>
      </c>
      <c r="J935" s="73">
        <v>3698</v>
      </c>
      <c r="K935" s="336">
        <f>J935/I935*100</f>
        <v>99.94594594594595</v>
      </c>
    </row>
    <row r="936" spans="1:11" ht="15">
      <c r="A936" s="36"/>
      <c r="B936" s="91"/>
      <c r="C936" s="91"/>
      <c r="D936" s="34"/>
      <c r="E936" s="34"/>
      <c r="F936" s="26">
        <f t="shared" si="60"/>
        <v>921</v>
      </c>
      <c r="G936" s="77" t="s">
        <v>934</v>
      </c>
      <c r="H936" s="31">
        <v>1000</v>
      </c>
      <c r="I936" s="31">
        <f>1000+1900</f>
        <v>2900</v>
      </c>
      <c r="J936" s="73">
        <v>2900</v>
      </c>
      <c r="K936" s="336">
        <f t="shared" si="59"/>
        <v>100</v>
      </c>
    </row>
    <row r="937" spans="1:11" ht="15">
      <c r="A937" s="36"/>
      <c r="B937" s="91"/>
      <c r="C937" s="91"/>
      <c r="D937" s="34"/>
      <c r="E937" s="34"/>
      <c r="F937" s="26">
        <f t="shared" si="60"/>
        <v>922</v>
      </c>
      <c r="G937" s="77" t="s">
        <v>935</v>
      </c>
      <c r="H937" s="31">
        <v>250000</v>
      </c>
      <c r="I937" s="31">
        <f>250000+0+0+0+30000+90000</f>
        <v>370000</v>
      </c>
      <c r="J937" s="73">
        <v>314465</v>
      </c>
      <c r="K937" s="336">
        <f t="shared" si="59"/>
        <v>84.99054054054054</v>
      </c>
    </row>
    <row r="938" spans="1:11" ht="15">
      <c r="A938" s="36"/>
      <c r="B938" s="91"/>
      <c r="C938" s="91"/>
      <c r="D938" s="34"/>
      <c r="E938" s="34"/>
      <c r="F938" s="26">
        <f t="shared" si="60"/>
        <v>923</v>
      </c>
      <c r="G938" s="77" t="s">
        <v>936</v>
      </c>
      <c r="H938" s="31"/>
      <c r="I938" s="31">
        <v>59000</v>
      </c>
      <c r="J938" s="73">
        <v>58999.6</v>
      </c>
      <c r="K938" s="336">
        <f t="shared" si="59"/>
        <v>99.99932203389831</v>
      </c>
    </row>
    <row r="939" spans="1:11" ht="15">
      <c r="A939" s="36"/>
      <c r="B939" s="91"/>
      <c r="C939" s="91"/>
      <c r="D939" s="34"/>
      <c r="E939" s="34"/>
      <c r="F939" s="26">
        <f t="shared" si="60"/>
        <v>924</v>
      </c>
      <c r="G939" s="77" t="s">
        <v>937</v>
      </c>
      <c r="H939" s="31">
        <v>0</v>
      </c>
      <c r="I939" s="31">
        <v>13700</v>
      </c>
      <c r="J939" s="73">
        <v>4762.56</v>
      </c>
      <c r="K939" s="336">
        <f t="shared" si="59"/>
        <v>34.76321167883212</v>
      </c>
    </row>
    <row r="940" spans="1:11" ht="15">
      <c r="A940" s="36"/>
      <c r="B940" s="91"/>
      <c r="C940" s="91"/>
      <c r="D940" s="34"/>
      <c r="E940" s="34"/>
      <c r="F940" s="26">
        <f t="shared" si="60"/>
        <v>925</v>
      </c>
      <c r="G940" s="77" t="s">
        <v>1104</v>
      </c>
      <c r="H940" s="31">
        <v>0</v>
      </c>
      <c r="I940" s="31">
        <v>62600</v>
      </c>
      <c r="J940" s="73">
        <v>26987.84</v>
      </c>
      <c r="K940" s="336">
        <f t="shared" si="59"/>
        <v>43.111565495207664</v>
      </c>
    </row>
    <row r="941" spans="1:11" ht="15">
      <c r="A941" s="36"/>
      <c r="B941" s="91"/>
      <c r="C941" s="91"/>
      <c r="D941" s="34"/>
      <c r="E941" s="34"/>
      <c r="F941" s="26">
        <f t="shared" si="60"/>
        <v>926</v>
      </c>
      <c r="G941" s="77" t="s">
        <v>938</v>
      </c>
      <c r="H941" s="31">
        <v>400000</v>
      </c>
      <c r="I941" s="31">
        <v>400000</v>
      </c>
      <c r="J941" s="73">
        <v>333318.1</v>
      </c>
      <c r="K941" s="336">
        <f t="shared" si="59"/>
        <v>83.32952499999999</v>
      </c>
    </row>
    <row r="942" spans="1:11" ht="15">
      <c r="A942" s="36"/>
      <c r="B942" s="91"/>
      <c r="C942" s="91"/>
      <c r="D942" s="34"/>
      <c r="E942" s="34"/>
      <c r="F942" s="26">
        <f t="shared" si="60"/>
        <v>927</v>
      </c>
      <c r="G942" s="77" t="s">
        <v>939</v>
      </c>
      <c r="H942" s="31">
        <v>0</v>
      </c>
      <c r="I942" s="31">
        <v>6900</v>
      </c>
      <c r="J942" s="73">
        <v>6900</v>
      </c>
      <c r="K942" s="336">
        <f t="shared" si="59"/>
        <v>100</v>
      </c>
    </row>
    <row r="943" spans="1:11" ht="15">
      <c r="A943" s="36"/>
      <c r="B943" s="91"/>
      <c r="C943" s="91"/>
      <c r="D943" s="34"/>
      <c r="E943" s="34"/>
      <c r="F943" s="26">
        <f t="shared" si="60"/>
        <v>928</v>
      </c>
      <c r="G943" s="77" t="s">
        <v>940</v>
      </c>
      <c r="H943" s="31">
        <v>0</v>
      </c>
      <c r="I943" s="31">
        <f>0+1000+0+0+0+800+0+0+0+0+400</f>
        <v>2200</v>
      </c>
      <c r="J943" s="73">
        <v>2145</v>
      </c>
      <c r="K943" s="336">
        <f t="shared" si="59"/>
        <v>97.5</v>
      </c>
    </row>
    <row r="944" spans="1:11" ht="15">
      <c r="A944" s="36"/>
      <c r="B944" s="91"/>
      <c r="C944" s="91"/>
      <c r="D944" s="34"/>
      <c r="E944" s="34"/>
      <c r="F944" s="26">
        <f t="shared" si="60"/>
        <v>929</v>
      </c>
      <c r="G944" s="77" t="s">
        <v>941</v>
      </c>
      <c r="H944" s="31">
        <v>0</v>
      </c>
      <c r="I944" s="31">
        <f>0+5500+0+0+0+4700+0+0+0+0+2000</f>
        <v>12200</v>
      </c>
      <c r="J944" s="73">
        <v>12155</v>
      </c>
      <c r="K944" s="336">
        <f t="shared" si="59"/>
        <v>99.6311475409836</v>
      </c>
    </row>
    <row r="945" spans="1:11" ht="15">
      <c r="A945" s="36"/>
      <c r="B945" s="91"/>
      <c r="C945" s="91"/>
      <c r="D945" s="34"/>
      <c r="E945" s="34"/>
      <c r="F945" s="26">
        <f t="shared" si="60"/>
        <v>930</v>
      </c>
      <c r="G945" s="77" t="s">
        <v>942</v>
      </c>
      <c r="H945" s="31">
        <v>200000</v>
      </c>
      <c r="I945" s="31">
        <v>491400</v>
      </c>
      <c r="J945" s="73">
        <v>475080.1</v>
      </c>
      <c r="K945" s="336">
        <f t="shared" si="59"/>
        <v>96.67889702889703</v>
      </c>
    </row>
    <row r="946" spans="1:11" ht="15">
      <c r="A946" s="36"/>
      <c r="B946" s="91"/>
      <c r="C946" s="91"/>
      <c r="D946" s="34"/>
      <c r="E946" s="34"/>
      <c r="F946" s="26">
        <f t="shared" si="60"/>
        <v>931</v>
      </c>
      <c r="G946" s="77" t="s">
        <v>943</v>
      </c>
      <c r="H946" s="31">
        <v>1200000</v>
      </c>
      <c r="I946" s="31">
        <f>1199600+0+0+0+0+0+0+0+0+150000+200000</f>
        <v>1549600</v>
      </c>
      <c r="J946" s="73">
        <f>657085+874476.78</f>
        <v>1531561.78</v>
      </c>
      <c r="K946" s="336">
        <f t="shared" si="59"/>
        <v>98.8359434692824</v>
      </c>
    </row>
    <row r="947" spans="1:11" ht="15">
      <c r="A947" s="36"/>
      <c r="B947" s="91"/>
      <c r="C947" s="91"/>
      <c r="D947" s="34"/>
      <c r="E947" s="34"/>
      <c r="F947" s="26">
        <f t="shared" si="60"/>
        <v>932</v>
      </c>
      <c r="G947" s="149" t="s">
        <v>944</v>
      </c>
      <c r="H947" s="137">
        <v>0</v>
      </c>
      <c r="I947" s="137">
        <v>278800</v>
      </c>
      <c r="J947" s="198">
        <v>278724</v>
      </c>
      <c r="K947" s="343">
        <f t="shared" si="59"/>
        <v>99.97274031563845</v>
      </c>
    </row>
    <row r="948" spans="1:11" ht="15">
      <c r="A948" s="36"/>
      <c r="B948" s="91"/>
      <c r="C948" s="91"/>
      <c r="D948" s="34"/>
      <c r="E948" s="34"/>
      <c r="F948" s="26">
        <f t="shared" si="60"/>
        <v>933</v>
      </c>
      <c r="G948" s="149" t="s">
        <v>945</v>
      </c>
      <c r="H948" s="137">
        <v>0</v>
      </c>
      <c r="I948" s="137">
        <v>115400</v>
      </c>
      <c r="J948" s="198">
        <v>115357</v>
      </c>
      <c r="K948" s="343">
        <f t="shared" si="59"/>
        <v>99.9627383015598</v>
      </c>
    </row>
    <row r="949" spans="1:11" ht="15">
      <c r="A949" s="36"/>
      <c r="B949" s="91"/>
      <c r="C949" s="91"/>
      <c r="D949" s="34"/>
      <c r="E949" s="34"/>
      <c r="F949" s="26">
        <f t="shared" si="60"/>
        <v>934</v>
      </c>
      <c r="G949" s="77" t="s">
        <v>1105</v>
      </c>
      <c r="H949" s="31">
        <v>0</v>
      </c>
      <c r="I949" s="31">
        <v>89000</v>
      </c>
      <c r="J949" s="73">
        <v>89000</v>
      </c>
      <c r="K949" s="336">
        <f>J949/I949*100</f>
        <v>100</v>
      </c>
    </row>
    <row r="950" spans="1:11" ht="15">
      <c r="A950" s="36"/>
      <c r="B950" s="91"/>
      <c r="C950" s="91"/>
      <c r="D950" s="34"/>
      <c r="E950" s="34"/>
      <c r="F950" s="26">
        <f t="shared" si="60"/>
        <v>935</v>
      </c>
      <c r="G950" s="77" t="s">
        <v>946</v>
      </c>
      <c r="H950" s="31">
        <v>1700000</v>
      </c>
      <c r="I950" s="31">
        <f>1700000+0-800000-300000</f>
        <v>600000</v>
      </c>
      <c r="J950" s="73">
        <v>526293</v>
      </c>
      <c r="K950" s="336">
        <f t="shared" si="59"/>
        <v>87.7155</v>
      </c>
    </row>
    <row r="951" spans="1:11" ht="15">
      <c r="A951" s="36"/>
      <c r="B951" s="91"/>
      <c r="C951" s="91"/>
      <c r="D951" s="34"/>
      <c r="E951" s="34"/>
      <c r="F951" s="26">
        <f t="shared" si="60"/>
        <v>936</v>
      </c>
      <c r="G951" s="77" t="s">
        <v>947</v>
      </c>
      <c r="H951" s="31">
        <v>0</v>
      </c>
      <c r="I951" s="31">
        <f>0+18200</f>
        <v>18200</v>
      </c>
      <c r="J951" s="73">
        <v>18150</v>
      </c>
      <c r="K951" s="336">
        <f t="shared" si="59"/>
        <v>99.72527472527473</v>
      </c>
    </row>
    <row r="952" spans="1:11" ht="15">
      <c r="A952" s="36"/>
      <c r="B952" s="91"/>
      <c r="C952" s="91"/>
      <c r="D952" s="34"/>
      <c r="E952" s="34"/>
      <c r="F952" s="26">
        <f t="shared" si="60"/>
        <v>937</v>
      </c>
      <c r="G952" s="77" t="s">
        <v>948</v>
      </c>
      <c r="H952" s="31">
        <v>0</v>
      </c>
      <c r="I952" s="31">
        <v>12900</v>
      </c>
      <c r="J952" s="73">
        <v>12904.08</v>
      </c>
      <c r="K952" s="336">
        <f t="shared" si="59"/>
        <v>100.03162790697675</v>
      </c>
    </row>
    <row r="953" spans="1:11" ht="15">
      <c r="A953" s="36"/>
      <c r="B953" s="91"/>
      <c r="C953" s="91"/>
      <c r="D953" s="34"/>
      <c r="E953" s="34"/>
      <c r="F953" s="26">
        <f t="shared" si="60"/>
        <v>938</v>
      </c>
      <c r="G953" s="77" t="s">
        <v>949</v>
      </c>
      <c r="H953" s="31">
        <v>0</v>
      </c>
      <c r="I953" s="31">
        <f>0+102900</f>
        <v>102900</v>
      </c>
      <c r="J953" s="73">
        <v>102850</v>
      </c>
      <c r="K953" s="336">
        <f t="shared" si="59"/>
        <v>99.9514091350826</v>
      </c>
    </row>
    <row r="954" spans="1:11" ht="15">
      <c r="A954" s="36"/>
      <c r="B954" s="91"/>
      <c r="C954" s="91"/>
      <c r="D954" s="34"/>
      <c r="E954" s="34"/>
      <c r="F954" s="26">
        <f t="shared" si="60"/>
        <v>939</v>
      </c>
      <c r="G954" s="77" t="s">
        <v>950</v>
      </c>
      <c r="H954" s="31">
        <v>400000</v>
      </c>
      <c r="I954" s="31">
        <f>400000+50000+50000+330000</f>
        <v>830000</v>
      </c>
      <c r="J954" s="73">
        <v>704268.29</v>
      </c>
      <c r="K954" s="336">
        <f t="shared" si="59"/>
        <v>84.85160120481929</v>
      </c>
    </row>
    <row r="955" spans="1:11" ht="15">
      <c r="A955" s="36"/>
      <c r="B955" s="91"/>
      <c r="C955" s="91"/>
      <c r="D955" s="34"/>
      <c r="E955" s="34"/>
      <c r="F955" s="26">
        <f t="shared" si="60"/>
        <v>940</v>
      </c>
      <c r="G955" s="77" t="s">
        <v>1106</v>
      </c>
      <c r="H955" s="31">
        <v>0</v>
      </c>
      <c r="I955" s="31">
        <v>18900</v>
      </c>
      <c r="J955" s="73">
        <v>18906</v>
      </c>
      <c r="K955" s="336">
        <f>J955/I955*100</f>
        <v>100.03174603174602</v>
      </c>
    </row>
    <row r="956" spans="1:11" ht="15">
      <c r="A956" s="36"/>
      <c r="B956" s="91"/>
      <c r="C956" s="91"/>
      <c r="D956" s="34"/>
      <c r="E956" s="34"/>
      <c r="F956" s="26">
        <f t="shared" si="60"/>
        <v>941</v>
      </c>
      <c r="G956" s="77" t="s">
        <v>951</v>
      </c>
      <c r="H956" s="31">
        <v>200000</v>
      </c>
      <c r="I956" s="31">
        <f>200000+0+0+0+0+0+0+0+0+0-50000</f>
        <v>150000</v>
      </c>
      <c r="J956" s="73">
        <v>70500</v>
      </c>
      <c r="K956" s="336">
        <f t="shared" si="59"/>
        <v>47</v>
      </c>
    </row>
    <row r="957" spans="1:11" ht="15">
      <c r="A957" s="36"/>
      <c r="B957" s="91"/>
      <c r="C957" s="91"/>
      <c r="D957" s="34"/>
      <c r="E957" s="34"/>
      <c r="F957" s="26">
        <f t="shared" si="60"/>
        <v>942</v>
      </c>
      <c r="G957" s="77" t="s">
        <v>123</v>
      </c>
      <c r="H957" s="31">
        <v>100000</v>
      </c>
      <c r="I957" s="31">
        <v>100000</v>
      </c>
      <c r="J957" s="73">
        <v>91390</v>
      </c>
      <c r="K957" s="336">
        <f t="shared" si="59"/>
        <v>91.39</v>
      </c>
    </row>
    <row r="958" spans="1:11" ht="15">
      <c r="A958" s="36"/>
      <c r="B958" s="91"/>
      <c r="C958" s="91"/>
      <c r="D958" s="34"/>
      <c r="E958" s="34"/>
      <c r="F958" s="26">
        <f t="shared" si="60"/>
        <v>943</v>
      </c>
      <c r="G958" s="77" t="s">
        <v>952</v>
      </c>
      <c r="H958" s="31">
        <v>50000</v>
      </c>
      <c r="I958" s="31">
        <v>50200</v>
      </c>
      <c r="J958" s="73">
        <v>50121.58</v>
      </c>
      <c r="K958" s="336">
        <f t="shared" si="59"/>
        <v>99.84378486055778</v>
      </c>
    </row>
    <row r="959" spans="1:11" ht="15">
      <c r="A959" s="36"/>
      <c r="B959" s="91"/>
      <c r="C959" s="91"/>
      <c r="D959" s="34"/>
      <c r="E959" s="34"/>
      <c r="F959" s="26">
        <f t="shared" si="60"/>
        <v>944</v>
      </c>
      <c r="G959" s="77" t="s">
        <v>953</v>
      </c>
      <c r="H959" s="31">
        <v>0</v>
      </c>
      <c r="I959" s="31">
        <f>0+0+0+1200+0+600+0+400+0+0+200+300</f>
        <v>2700</v>
      </c>
      <c r="J959" s="73">
        <v>2603.67</v>
      </c>
      <c r="K959" s="336">
        <f t="shared" si="59"/>
        <v>96.43222222222224</v>
      </c>
    </row>
    <row r="960" spans="1:11" ht="15">
      <c r="A960" s="36"/>
      <c r="B960" s="91"/>
      <c r="C960" s="91"/>
      <c r="D960" s="34"/>
      <c r="E960" s="34"/>
      <c r="F960" s="26">
        <f t="shared" si="60"/>
        <v>945</v>
      </c>
      <c r="G960" s="77" t="s">
        <v>954</v>
      </c>
      <c r="H960" s="31">
        <v>0</v>
      </c>
      <c r="I960" s="31">
        <f>0+0+0+6500+0+3400+0+2100+0+0+1500+1300</f>
        <v>14800</v>
      </c>
      <c r="J960" s="73">
        <v>14753.83</v>
      </c>
      <c r="K960" s="336">
        <f t="shared" si="59"/>
        <v>99.68804054054054</v>
      </c>
    </row>
    <row r="961" spans="1:11" ht="15">
      <c r="A961" s="36"/>
      <c r="B961" s="91"/>
      <c r="C961" s="91"/>
      <c r="D961" s="34"/>
      <c r="E961" s="34"/>
      <c r="F961" s="26">
        <f t="shared" si="60"/>
        <v>946</v>
      </c>
      <c r="G961" s="77" t="s">
        <v>955</v>
      </c>
      <c r="H961" s="31">
        <v>2000</v>
      </c>
      <c r="I961" s="31">
        <v>2000</v>
      </c>
      <c r="J961" s="73">
        <v>0</v>
      </c>
      <c r="K961" s="336">
        <f t="shared" si="59"/>
        <v>0</v>
      </c>
    </row>
    <row r="962" spans="1:11" ht="15">
      <c r="A962" s="36"/>
      <c r="B962" s="91"/>
      <c r="C962" s="91"/>
      <c r="D962" s="34"/>
      <c r="E962" s="34"/>
      <c r="F962" s="26">
        <f t="shared" si="60"/>
        <v>947</v>
      </c>
      <c r="G962" s="77" t="s">
        <v>1107</v>
      </c>
      <c r="H962" s="31">
        <v>0</v>
      </c>
      <c r="I962" s="31">
        <v>210200</v>
      </c>
      <c r="J962" s="73">
        <v>210202.92</v>
      </c>
      <c r="K962" s="336">
        <f>J962/I962*100</f>
        <v>100.00138915318743</v>
      </c>
    </row>
    <row r="963" spans="1:11" ht="15">
      <c r="A963" s="36"/>
      <c r="B963" s="91"/>
      <c r="C963" s="91"/>
      <c r="D963" s="34"/>
      <c r="E963" s="34"/>
      <c r="F963" s="26">
        <f t="shared" si="60"/>
        <v>948</v>
      </c>
      <c r="G963" s="149" t="s">
        <v>956</v>
      </c>
      <c r="H963" s="137">
        <v>0</v>
      </c>
      <c r="I963" s="137">
        <v>195000</v>
      </c>
      <c r="J963" s="198">
        <v>194500</v>
      </c>
      <c r="K963" s="343">
        <f t="shared" si="59"/>
        <v>99.74358974358975</v>
      </c>
    </row>
    <row r="964" spans="1:11" ht="15">
      <c r="A964" s="36"/>
      <c r="B964" s="91"/>
      <c r="C964" s="91"/>
      <c r="D964" s="34"/>
      <c r="E964" s="34"/>
      <c r="F964" s="26">
        <f t="shared" si="60"/>
        <v>949</v>
      </c>
      <c r="G964" s="77" t="s">
        <v>957</v>
      </c>
      <c r="H964" s="31">
        <v>10000</v>
      </c>
      <c r="I964" s="31">
        <v>10000</v>
      </c>
      <c r="J964" s="73">
        <v>8850</v>
      </c>
      <c r="K964" s="336">
        <f aca="true" t="shared" si="61" ref="K964:K998">J964/I964*100</f>
        <v>88.5</v>
      </c>
    </row>
    <row r="965" spans="1:11" ht="15">
      <c r="A965" s="36"/>
      <c r="B965" s="91"/>
      <c r="C965" s="91"/>
      <c r="D965" s="34"/>
      <c r="E965" s="34"/>
      <c r="F965" s="26">
        <f t="shared" si="60"/>
        <v>950</v>
      </c>
      <c r="G965" s="231" t="s">
        <v>958</v>
      </c>
      <c r="H965" s="31">
        <v>0</v>
      </c>
      <c r="I965" s="31">
        <v>0</v>
      </c>
      <c r="J965" s="73">
        <v>0</v>
      </c>
      <c r="K965" s="336" t="e">
        <f t="shared" si="61"/>
        <v>#DIV/0!</v>
      </c>
    </row>
    <row r="966" spans="1:11" ht="15">
      <c r="A966" s="36"/>
      <c r="B966" s="91"/>
      <c r="C966" s="91"/>
      <c r="D966" s="34"/>
      <c r="E966" s="34"/>
      <c r="F966" s="26">
        <f t="shared" si="60"/>
        <v>951</v>
      </c>
      <c r="G966" s="231" t="s">
        <v>959</v>
      </c>
      <c r="H966" s="31">
        <v>0</v>
      </c>
      <c r="I966" s="31">
        <v>0</v>
      </c>
      <c r="J966" s="73">
        <v>0</v>
      </c>
      <c r="K966" s="336" t="e">
        <f>J966/I966*100</f>
        <v>#DIV/0!</v>
      </c>
    </row>
    <row r="967" spans="1:11" ht="15">
      <c r="A967" s="36"/>
      <c r="B967" s="91"/>
      <c r="C967" s="91"/>
      <c r="D967" s="34"/>
      <c r="E967" s="34"/>
      <c r="F967" s="26">
        <f t="shared" si="60"/>
        <v>952</v>
      </c>
      <c r="G967" s="77" t="s">
        <v>960</v>
      </c>
      <c r="H967" s="31">
        <v>10000</v>
      </c>
      <c r="I967" s="31">
        <v>10000</v>
      </c>
      <c r="J967" s="73">
        <v>4430</v>
      </c>
      <c r="K967" s="336">
        <f t="shared" si="61"/>
        <v>44.3</v>
      </c>
    </row>
    <row r="968" spans="1:11" ht="15">
      <c r="A968" s="36"/>
      <c r="B968" s="91"/>
      <c r="C968" s="91"/>
      <c r="D968" s="34"/>
      <c r="E968" s="34"/>
      <c r="F968" s="26">
        <f t="shared" si="60"/>
        <v>953</v>
      </c>
      <c r="G968" s="77" t="s">
        <v>961</v>
      </c>
      <c r="H968" s="31">
        <f>40000-1700</f>
        <v>38300</v>
      </c>
      <c r="I968" s="31">
        <v>43900</v>
      </c>
      <c r="J968" s="73">
        <v>43595</v>
      </c>
      <c r="K968" s="336">
        <f t="shared" si="61"/>
        <v>99.30523917995444</v>
      </c>
    </row>
    <row r="969" spans="1:11" ht="15">
      <c r="A969" s="36"/>
      <c r="B969" s="91"/>
      <c r="C969" s="91"/>
      <c r="D969" s="34"/>
      <c r="E969" s="34"/>
      <c r="F969" s="26">
        <f t="shared" si="60"/>
        <v>954</v>
      </c>
      <c r="G969" s="149" t="s">
        <v>962</v>
      </c>
      <c r="H969" s="137">
        <v>0</v>
      </c>
      <c r="I969" s="137">
        <v>12000</v>
      </c>
      <c r="J969" s="198">
        <v>10000</v>
      </c>
      <c r="K969" s="343">
        <f t="shared" si="61"/>
        <v>83.33333333333334</v>
      </c>
    </row>
    <row r="970" spans="1:11" ht="15">
      <c r="A970" s="36"/>
      <c r="B970" s="91"/>
      <c r="C970" s="91"/>
      <c r="D970" s="34"/>
      <c r="E970" s="34"/>
      <c r="F970" s="26">
        <f t="shared" si="60"/>
        <v>955</v>
      </c>
      <c r="G970" s="77" t="s">
        <v>963</v>
      </c>
      <c r="H970" s="31">
        <v>10000</v>
      </c>
      <c r="I970" s="31">
        <v>10000</v>
      </c>
      <c r="J970" s="73">
        <v>630</v>
      </c>
      <c r="K970" s="336">
        <f t="shared" si="61"/>
        <v>6.3</v>
      </c>
    </row>
    <row r="971" spans="1:11" ht="15">
      <c r="A971" s="36"/>
      <c r="B971" s="91"/>
      <c r="C971" s="91"/>
      <c r="D971" s="34"/>
      <c r="E971" s="34"/>
      <c r="F971" s="26">
        <f t="shared" si="60"/>
        <v>956</v>
      </c>
      <c r="G971" s="77" t="s">
        <v>964</v>
      </c>
      <c r="H971" s="31">
        <v>13500</v>
      </c>
      <c r="I971" s="31">
        <f>13500+0+300</f>
        <v>13800</v>
      </c>
      <c r="J971" s="73">
        <v>13479.8</v>
      </c>
      <c r="K971" s="336">
        <f t="shared" si="61"/>
        <v>97.67971014492754</v>
      </c>
    </row>
    <row r="972" spans="1:11" ht="15">
      <c r="A972" s="36"/>
      <c r="B972" s="91"/>
      <c r="C972" s="91"/>
      <c r="D972" s="34"/>
      <c r="E972" s="34"/>
      <c r="F972" s="26">
        <f t="shared" si="60"/>
        <v>957</v>
      </c>
      <c r="G972" s="77" t="s">
        <v>965</v>
      </c>
      <c r="H972" s="31">
        <v>20000</v>
      </c>
      <c r="I972" s="31">
        <v>20000</v>
      </c>
      <c r="J972" s="73">
        <v>10000</v>
      </c>
      <c r="K972" s="336">
        <f t="shared" si="61"/>
        <v>50</v>
      </c>
    </row>
    <row r="973" spans="1:11" ht="15">
      <c r="A973" s="36"/>
      <c r="B973" s="91"/>
      <c r="C973" s="91"/>
      <c r="D973" s="34"/>
      <c r="E973" s="34"/>
      <c r="F973" s="26">
        <f t="shared" si="60"/>
        <v>958</v>
      </c>
      <c r="G973" s="77" t="s">
        <v>966</v>
      </c>
      <c r="H973" s="31">
        <v>10000</v>
      </c>
      <c r="I973" s="31">
        <v>10000</v>
      </c>
      <c r="J973" s="73">
        <v>189</v>
      </c>
      <c r="K973" s="336">
        <f t="shared" si="61"/>
        <v>1.8900000000000001</v>
      </c>
    </row>
    <row r="974" spans="1:11" ht="15">
      <c r="A974" s="36"/>
      <c r="B974" s="91"/>
      <c r="C974" s="91"/>
      <c r="D974" s="34"/>
      <c r="E974" s="34"/>
      <c r="F974" s="26">
        <f t="shared" si="60"/>
        <v>959</v>
      </c>
      <c r="G974" s="77" t="s">
        <v>1108</v>
      </c>
      <c r="H974" s="31">
        <v>0</v>
      </c>
      <c r="I974" s="31">
        <v>1500</v>
      </c>
      <c r="J974" s="73">
        <v>1500</v>
      </c>
      <c r="K974" s="336">
        <f>J974/I974*100</f>
        <v>100</v>
      </c>
    </row>
    <row r="975" spans="1:11" ht="15">
      <c r="A975" s="36"/>
      <c r="B975" s="91"/>
      <c r="C975" s="91"/>
      <c r="D975" s="34"/>
      <c r="E975" s="34"/>
      <c r="F975" s="26">
        <f t="shared" si="60"/>
        <v>960</v>
      </c>
      <c r="G975" s="77" t="s">
        <v>967</v>
      </c>
      <c r="H975" s="31">
        <v>20000</v>
      </c>
      <c r="I975" s="31">
        <v>20000</v>
      </c>
      <c r="J975" s="73">
        <v>0</v>
      </c>
      <c r="K975" s="336">
        <f t="shared" si="61"/>
        <v>0</v>
      </c>
    </row>
    <row r="976" spans="1:11" ht="15">
      <c r="A976" s="36"/>
      <c r="B976" s="91"/>
      <c r="C976" s="91"/>
      <c r="D976" s="34"/>
      <c r="E976" s="34"/>
      <c r="F976" s="26">
        <f t="shared" si="60"/>
        <v>961</v>
      </c>
      <c r="G976" s="149" t="s">
        <v>968</v>
      </c>
      <c r="H976" s="137">
        <v>0</v>
      </c>
      <c r="I976" s="137">
        <v>5000</v>
      </c>
      <c r="J976" s="198">
        <v>0</v>
      </c>
      <c r="K976" s="343">
        <f t="shared" si="61"/>
        <v>0</v>
      </c>
    </row>
    <row r="977" spans="1:11" ht="15">
      <c r="A977" s="36"/>
      <c r="B977" s="91"/>
      <c r="C977" s="91"/>
      <c r="D977" s="34"/>
      <c r="E977" s="34"/>
      <c r="F977" s="26">
        <f t="shared" si="60"/>
        <v>962</v>
      </c>
      <c r="G977" s="77" t="s">
        <v>969</v>
      </c>
      <c r="H977" s="31">
        <v>100000</v>
      </c>
      <c r="I977" s="31">
        <f>100000+0+0+0+0+0+0+2300+30000+4100</f>
        <v>136400</v>
      </c>
      <c r="J977" s="73">
        <v>136398</v>
      </c>
      <c r="K977" s="336">
        <f t="shared" si="61"/>
        <v>99.99853372434018</v>
      </c>
    </row>
    <row r="978" spans="1:11" ht="15">
      <c r="A978" s="36"/>
      <c r="B978" s="91"/>
      <c r="C978" s="91"/>
      <c r="D978" s="34"/>
      <c r="E978" s="34"/>
      <c r="F978" s="26">
        <f t="shared" si="60"/>
        <v>963</v>
      </c>
      <c r="G978" s="149" t="s">
        <v>970</v>
      </c>
      <c r="H978" s="137">
        <v>0</v>
      </c>
      <c r="I978" s="137">
        <v>376800</v>
      </c>
      <c r="J978" s="198">
        <v>376800</v>
      </c>
      <c r="K978" s="343">
        <f t="shared" si="61"/>
        <v>100</v>
      </c>
    </row>
    <row r="979" spans="1:11" ht="15">
      <c r="A979" s="36"/>
      <c r="B979" s="91"/>
      <c r="C979" s="91"/>
      <c r="D979" s="34"/>
      <c r="E979" s="34"/>
      <c r="F979" s="26">
        <f t="shared" si="60"/>
        <v>964</v>
      </c>
      <c r="G979" s="149" t="s">
        <v>971</v>
      </c>
      <c r="H979" s="137">
        <v>0</v>
      </c>
      <c r="I979" s="137">
        <v>209000</v>
      </c>
      <c r="J979" s="198">
        <v>58240</v>
      </c>
      <c r="K979" s="343">
        <f t="shared" si="61"/>
        <v>27.86602870813397</v>
      </c>
    </row>
    <row r="980" spans="1:11" ht="15">
      <c r="A980" s="36"/>
      <c r="B980" s="91"/>
      <c r="C980" s="91"/>
      <c r="D980" s="34"/>
      <c r="E980" s="34"/>
      <c r="F980" s="26">
        <f aca="true" t="shared" si="62" ref="F980:F1043">F979+1</f>
        <v>965</v>
      </c>
      <c r="G980" s="149" t="s">
        <v>972</v>
      </c>
      <c r="H980" s="137">
        <v>1191400</v>
      </c>
      <c r="I980" s="137">
        <v>8400</v>
      </c>
      <c r="J980" s="198">
        <v>0</v>
      </c>
      <c r="K980" s="343">
        <f t="shared" si="61"/>
        <v>0</v>
      </c>
    </row>
    <row r="981" spans="1:11" ht="15">
      <c r="A981" s="36"/>
      <c r="B981" s="91"/>
      <c r="C981" s="91"/>
      <c r="D981" s="34"/>
      <c r="E981" s="34"/>
      <c r="F981" s="26">
        <f t="shared" si="62"/>
        <v>966</v>
      </c>
      <c r="G981" s="77" t="s">
        <v>973</v>
      </c>
      <c r="H981" s="31">
        <v>0</v>
      </c>
      <c r="I981" s="31">
        <v>0</v>
      </c>
      <c r="J981" s="73">
        <v>0</v>
      </c>
      <c r="K981" s="336" t="e">
        <f t="shared" si="61"/>
        <v>#DIV/0!</v>
      </c>
    </row>
    <row r="982" spans="1:11" ht="15">
      <c r="A982" s="36"/>
      <c r="B982" s="91"/>
      <c r="C982" s="91"/>
      <c r="D982" s="34"/>
      <c r="E982" s="34"/>
      <c r="F982" s="26">
        <f t="shared" si="62"/>
        <v>967</v>
      </c>
      <c r="G982" s="77" t="s">
        <v>974</v>
      </c>
      <c r="H982" s="31">
        <v>0</v>
      </c>
      <c r="I982" s="31">
        <v>0</v>
      </c>
      <c r="J982" s="73">
        <v>0</v>
      </c>
      <c r="K982" s="336" t="e">
        <f t="shared" si="61"/>
        <v>#DIV/0!</v>
      </c>
    </row>
    <row r="983" spans="1:11" ht="15">
      <c r="A983" s="36"/>
      <c r="B983" s="91"/>
      <c r="C983" s="91"/>
      <c r="D983" s="34"/>
      <c r="E983" s="34"/>
      <c r="F983" s="26">
        <f t="shared" si="62"/>
        <v>968</v>
      </c>
      <c r="G983" s="77" t="s">
        <v>975</v>
      </c>
      <c r="H983" s="31">
        <v>43700</v>
      </c>
      <c r="I983" s="31">
        <v>0</v>
      </c>
      <c r="J983" s="73">
        <v>0</v>
      </c>
      <c r="K983" s="336" t="e">
        <f t="shared" si="61"/>
        <v>#DIV/0!</v>
      </c>
    </row>
    <row r="984" spans="1:11" ht="15">
      <c r="A984" s="36"/>
      <c r="B984" s="91"/>
      <c r="C984" s="91"/>
      <c r="D984" s="34"/>
      <c r="E984" s="34"/>
      <c r="F984" s="26">
        <f t="shared" si="62"/>
        <v>969</v>
      </c>
      <c r="G984" s="77" t="s">
        <v>976</v>
      </c>
      <c r="H984" s="31">
        <v>249500</v>
      </c>
      <c r="I984" s="31">
        <v>0</v>
      </c>
      <c r="J984" s="73">
        <v>0</v>
      </c>
      <c r="K984" s="336" t="e">
        <f t="shared" si="61"/>
        <v>#DIV/0!</v>
      </c>
    </row>
    <row r="985" spans="1:11" ht="15">
      <c r="A985" s="36"/>
      <c r="B985" s="91"/>
      <c r="C985" s="91"/>
      <c r="D985" s="34"/>
      <c r="E985" s="34"/>
      <c r="F985" s="26">
        <f t="shared" si="62"/>
        <v>970</v>
      </c>
      <c r="G985" s="77" t="s">
        <v>1110</v>
      </c>
      <c r="H985" s="31">
        <v>0</v>
      </c>
      <c r="I985" s="31">
        <v>66000</v>
      </c>
      <c r="J985" s="73">
        <v>65945</v>
      </c>
      <c r="K985" s="336">
        <f>J985/I985*100</f>
        <v>99.91666666666667</v>
      </c>
    </row>
    <row r="986" spans="1:11" ht="15">
      <c r="A986" s="36"/>
      <c r="B986" s="91"/>
      <c r="C986" s="91"/>
      <c r="D986" s="34"/>
      <c r="E986" s="34"/>
      <c r="F986" s="26">
        <f t="shared" si="62"/>
        <v>971</v>
      </c>
      <c r="G986" s="77" t="s">
        <v>977</v>
      </c>
      <c r="H986" s="31">
        <v>5300000</v>
      </c>
      <c r="I986" s="31">
        <v>0</v>
      </c>
      <c r="J986" s="73">
        <v>0</v>
      </c>
      <c r="K986" s="336" t="e">
        <f t="shared" si="61"/>
        <v>#DIV/0!</v>
      </c>
    </row>
    <row r="987" spans="1:11" ht="15">
      <c r="A987" s="36"/>
      <c r="B987" s="91"/>
      <c r="C987" s="91"/>
      <c r="D987" s="34"/>
      <c r="E987" s="34"/>
      <c r="F987" s="26">
        <f t="shared" si="62"/>
        <v>972</v>
      </c>
      <c r="G987" s="77" t="s">
        <v>978</v>
      </c>
      <c r="H987" s="31">
        <v>0</v>
      </c>
      <c r="I987" s="31">
        <f>0+271400</f>
        <v>271400</v>
      </c>
      <c r="J987" s="73">
        <v>271344.3</v>
      </c>
      <c r="K987" s="336">
        <f t="shared" si="61"/>
        <v>99.97947678703021</v>
      </c>
    </row>
    <row r="988" spans="1:11" ht="15">
      <c r="A988" s="36"/>
      <c r="B988" s="91"/>
      <c r="C988" s="91"/>
      <c r="D988" s="34"/>
      <c r="E988" s="34"/>
      <c r="F988" s="26">
        <f t="shared" si="62"/>
        <v>973</v>
      </c>
      <c r="G988" s="77" t="s">
        <v>979</v>
      </c>
      <c r="H988" s="31">
        <v>0</v>
      </c>
      <c r="I988" s="31">
        <f>0+1537700</f>
        <v>1537700</v>
      </c>
      <c r="J988" s="73">
        <v>1537617.7</v>
      </c>
      <c r="K988" s="336">
        <f t="shared" si="61"/>
        <v>99.99464785068609</v>
      </c>
    </row>
    <row r="989" spans="1:11" ht="15">
      <c r="A989" s="36"/>
      <c r="B989" s="91"/>
      <c r="C989" s="91"/>
      <c r="D989" s="34"/>
      <c r="E989" s="34"/>
      <c r="F989" s="26">
        <f t="shared" si="62"/>
        <v>974</v>
      </c>
      <c r="G989" s="77" t="s">
        <v>980</v>
      </c>
      <c r="H989" s="31">
        <v>300000</v>
      </c>
      <c r="I989" s="31">
        <v>1477900</v>
      </c>
      <c r="J989" s="73">
        <v>1348185.77</v>
      </c>
      <c r="K989" s="336">
        <f t="shared" si="61"/>
        <v>91.22307124974627</v>
      </c>
    </row>
    <row r="990" spans="1:11" ht="15">
      <c r="A990" s="36"/>
      <c r="B990" s="91"/>
      <c r="C990" s="91"/>
      <c r="D990" s="34"/>
      <c r="E990" s="34"/>
      <c r="F990" s="26">
        <f t="shared" si="62"/>
        <v>975</v>
      </c>
      <c r="G990" s="77" t="s">
        <v>981</v>
      </c>
      <c r="H990" s="31">
        <v>600000</v>
      </c>
      <c r="I990" s="31">
        <v>0</v>
      </c>
      <c r="J990" s="73">
        <v>0</v>
      </c>
      <c r="K990" s="336" t="e">
        <f t="shared" si="61"/>
        <v>#DIV/0!</v>
      </c>
    </row>
    <row r="991" spans="1:11" ht="15">
      <c r="A991" s="36"/>
      <c r="B991" s="91"/>
      <c r="C991" s="91"/>
      <c r="D991" s="34"/>
      <c r="E991" s="34"/>
      <c r="F991" s="26">
        <f t="shared" si="62"/>
        <v>976</v>
      </c>
      <c r="G991" s="77" t="s">
        <v>982</v>
      </c>
      <c r="H991" s="31">
        <v>350000</v>
      </c>
      <c r="I991" s="31">
        <f>350000+0+0+0+50000+2600</f>
        <v>402600</v>
      </c>
      <c r="J991" s="73">
        <v>402575.1</v>
      </c>
      <c r="K991" s="336">
        <f t="shared" si="61"/>
        <v>99.99381520119225</v>
      </c>
    </row>
    <row r="992" spans="1:11" ht="15">
      <c r="A992" s="36"/>
      <c r="B992" s="91"/>
      <c r="C992" s="91"/>
      <c r="D992" s="34"/>
      <c r="E992" s="34"/>
      <c r="F992" s="26">
        <f t="shared" si="62"/>
        <v>977</v>
      </c>
      <c r="G992" s="77" t="s">
        <v>983</v>
      </c>
      <c r="H992" s="31">
        <v>0</v>
      </c>
      <c r="I992" s="31">
        <v>537200</v>
      </c>
      <c r="J992" s="73">
        <v>537108.27</v>
      </c>
      <c r="K992" s="336">
        <f t="shared" si="61"/>
        <v>99.98292442293373</v>
      </c>
    </row>
    <row r="993" spans="1:11" ht="15">
      <c r="A993" s="36"/>
      <c r="B993" s="91"/>
      <c r="C993" s="91"/>
      <c r="D993" s="34"/>
      <c r="E993" s="34"/>
      <c r="F993" s="26">
        <f t="shared" si="62"/>
        <v>978</v>
      </c>
      <c r="G993" s="77" t="s">
        <v>984</v>
      </c>
      <c r="H993" s="31">
        <v>0</v>
      </c>
      <c r="I993" s="31">
        <v>4608700</v>
      </c>
      <c r="J993" s="73">
        <v>4608617.24</v>
      </c>
      <c r="K993" s="336">
        <f t="shared" si="61"/>
        <v>99.99820426584503</v>
      </c>
    </row>
    <row r="994" spans="1:11" ht="15">
      <c r="A994" s="36"/>
      <c r="B994" s="91"/>
      <c r="C994" s="91"/>
      <c r="D994" s="34"/>
      <c r="E994" s="34"/>
      <c r="F994" s="26">
        <f t="shared" si="62"/>
        <v>979</v>
      </c>
      <c r="G994" s="77" t="s">
        <v>985</v>
      </c>
      <c r="H994" s="31">
        <v>0</v>
      </c>
      <c r="I994" s="31">
        <v>276200</v>
      </c>
      <c r="J994" s="73">
        <v>276177.13</v>
      </c>
      <c r="K994" s="336">
        <f t="shared" si="61"/>
        <v>99.99171976828384</v>
      </c>
    </row>
    <row r="995" spans="1:11" ht="15">
      <c r="A995" s="36"/>
      <c r="B995" s="91"/>
      <c r="C995" s="91"/>
      <c r="D995" s="34"/>
      <c r="E995" s="34"/>
      <c r="F995" s="26">
        <f t="shared" si="62"/>
        <v>980</v>
      </c>
      <c r="G995" s="77" t="s">
        <v>986</v>
      </c>
      <c r="H995" s="31">
        <v>0</v>
      </c>
      <c r="I995" s="31">
        <f>0+0+303000-148000-155000</f>
        <v>0</v>
      </c>
      <c r="J995" s="73">
        <v>0</v>
      </c>
      <c r="K995" s="336" t="e">
        <f t="shared" si="61"/>
        <v>#DIV/0!</v>
      </c>
    </row>
    <row r="996" spans="1:11" ht="15">
      <c r="A996" s="36"/>
      <c r="B996" s="91"/>
      <c r="C996" s="91"/>
      <c r="D996" s="34"/>
      <c r="E996" s="34"/>
      <c r="F996" s="26">
        <f t="shared" si="62"/>
        <v>981</v>
      </c>
      <c r="G996" s="77" t="s">
        <v>987</v>
      </c>
      <c r="H996" s="31">
        <v>100000</v>
      </c>
      <c r="I996" s="31">
        <v>0</v>
      </c>
      <c r="J996" s="73">
        <v>0</v>
      </c>
      <c r="K996" s="336" t="e">
        <f t="shared" si="61"/>
        <v>#DIV/0!</v>
      </c>
    </row>
    <row r="997" spans="1:11" ht="15">
      <c r="A997" s="36"/>
      <c r="B997" s="91"/>
      <c r="C997" s="91"/>
      <c r="D997" s="34"/>
      <c r="E997" s="34"/>
      <c r="F997" s="26">
        <f t="shared" si="62"/>
        <v>982</v>
      </c>
      <c r="G997" s="77" t="s">
        <v>988</v>
      </c>
      <c r="H997" s="31">
        <v>0</v>
      </c>
      <c r="I997" s="31">
        <f>0+77900</f>
        <v>77900</v>
      </c>
      <c r="J997" s="73">
        <v>77872.2</v>
      </c>
      <c r="K997" s="336">
        <f t="shared" si="61"/>
        <v>99.96431322207958</v>
      </c>
    </row>
    <row r="998" spans="1:11" ht="15">
      <c r="A998" s="36"/>
      <c r="B998" s="91"/>
      <c r="C998" s="91"/>
      <c r="D998" s="34"/>
      <c r="E998" s="34"/>
      <c r="F998" s="26">
        <f t="shared" si="62"/>
        <v>983</v>
      </c>
      <c r="G998" s="77" t="s">
        <v>989</v>
      </c>
      <c r="H998" s="31">
        <v>0</v>
      </c>
      <c r="I998" s="31">
        <f>0+441300</f>
        <v>441300</v>
      </c>
      <c r="J998" s="73">
        <v>441275.8</v>
      </c>
      <c r="K998" s="336">
        <f t="shared" si="61"/>
        <v>99.99451620213007</v>
      </c>
    </row>
    <row r="999" spans="1:11" ht="15">
      <c r="A999" s="36"/>
      <c r="B999" s="91"/>
      <c r="C999" s="91"/>
      <c r="D999" s="34"/>
      <c r="E999" s="34"/>
      <c r="F999" s="26">
        <f t="shared" si="62"/>
        <v>984</v>
      </c>
      <c r="G999" s="77"/>
      <c r="H999" s="98"/>
      <c r="I999" s="98"/>
      <c r="J999" s="99"/>
      <c r="K999" s="336"/>
    </row>
    <row r="1000" spans="1:11" ht="15">
      <c r="A1000" s="92" t="s">
        <v>990</v>
      </c>
      <c r="B1000" s="87">
        <f>SUM(B1001:B1006)</f>
        <v>271900</v>
      </c>
      <c r="C1000" s="87">
        <f>SUM(C1001:C1006)</f>
        <v>261700</v>
      </c>
      <c r="D1000" s="93">
        <f>SUM(D1001:D1006)</f>
        <v>257267.99</v>
      </c>
      <c r="E1000" s="93">
        <f aca="true" t="shared" si="63" ref="E1000:E1006">D1000/C1000*100</f>
        <v>98.3064539549102</v>
      </c>
      <c r="F1000" s="26">
        <f t="shared" si="62"/>
        <v>985</v>
      </c>
      <c r="G1000" s="68" t="s">
        <v>991</v>
      </c>
      <c r="H1000" s="69">
        <f>SUM(H1001:H1005)</f>
        <v>475000</v>
      </c>
      <c r="I1000" s="69">
        <f>SUM(I1001:I1005)</f>
        <v>491000</v>
      </c>
      <c r="J1000" s="70">
        <f>SUM(J1001:J1005)</f>
        <v>432371.72</v>
      </c>
      <c r="K1000" s="336">
        <f aca="true" t="shared" si="64" ref="K1000:K1005">J1000/I1000*100</f>
        <v>88.05941344195519</v>
      </c>
    </row>
    <row r="1001" spans="1:11" ht="15">
      <c r="A1001" s="135" t="s">
        <v>992</v>
      </c>
      <c r="B1001" s="95">
        <v>40000</v>
      </c>
      <c r="C1001" s="95">
        <f>40000-12900-21100</f>
        <v>6000</v>
      </c>
      <c r="D1001" s="73">
        <v>3771.17</v>
      </c>
      <c r="E1001" s="73">
        <f t="shared" si="63"/>
        <v>62.852833333333336</v>
      </c>
      <c r="F1001" s="26">
        <f t="shared" si="62"/>
        <v>986</v>
      </c>
      <c r="G1001" s="77" t="s">
        <v>993</v>
      </c>
      <c r="H1001" s="31">
        <v>2000</v>
      </c>
      <c r="I1001" s="31">
        <v>2000</v>
      </c>
      <c r="J1001" s="150">
        <v>0</v>
      </c>
      <c r="K1001" s="336">
        <f t="shared" si="64"/>
        <v>0</v>
      </c>
    </row>
    <row r="1002" spans="1:11" ht="15">
      <c r="A1002" s="136" t="s">
        <v>994</v>
      </c>
      <c r="B1002" s="264">
        <v>46700</v>
      </c>
      <c r="C1002" s="264">
        <v>46700</v>
      </c>
      <c r="D1002" s="265">
        <v>48020</v>
      </c>
      <c r="E1002" s="198">
        <f t="shared" si="63"/>
        <v>102.82655246252676</v>
      </c>
      <c r="F1002" s="26">
        <f t="shared" si="62"/>
        <v>987</v>
      </c>
      <c r="G1002" s="77" t="s">
        <v>995</v>
      </c>
      <c r="H1002" s="31">
        <v>302000</v>
      </c>
      <c r="I1002" s="31">
        <v>295300</v>
      </c>
      <c r="J1002" s="150">
        <v>265369.28</v>
      </c>
      <c r="K1002" s="336">
        <f t="shared" si="64"/>
        <v>89.86430071114123</v>
      </c>
    </row>
    <row r="1003" spans="1:11" ht="15">
      <c r="A1003" s="156" t="s">
        <v>996</v>
      </c>
      <c r="B1003" s="264">
        <v>20000</v>
      </c>
      <c r="C1003" s="264">
        <f>20000-17000</f>
        <v>3000</v>
      </c>
      <c r="D1003" s="39">
        <v>1476.82</v>
      </c>
      <c r="E1003" s="198">
        <f t="shared" si="63"/>
        <v>49.22733333333333</v>
      </c>
      <c r="F1003" s="26">
        <f t="shared" si="62"/>
        <v>988</v>
      </c>
      <c r="G1003" s="77" t="s">
        <v>997</v>
      </c>
      <c r="H1003" s="31">
        <v>140000</v>
      </c>
      <c r="I1003" s="31">
        <v>162700</v>
      </c>
      <c r="J1003" s="73">
        <v>162678.34</v>
      </c>
      <c r="K1003" s="336">
        <f t="shared" si="64"/>
        <v>99.98668715427166</v>
      </c>
    </row>
    <row r="1004" spans="1:11" ht="15">
      <c r="A1004" s="135" t="s">
        <v>998</v>
      </c>
      <c r="B1004" s="95">
        <v>163200</v>
      </c>
      <c r="C1004" s="95">
        <f>163200+0+0+0+40800</f>
        <v>204000</v>
      </c>
      <c r="D1004" s="24">
        <v>204000</v>
      </c>
      <c r="E1004" s="73">
        <f t="shared" si="63"/>
        <v>100</v>
      </c>
      <c r="F1004" s="26">
        <f t="shared" si="62"/>
        <v>989</v>
      </c>
      <c r="G1004" s="149" t="s">
        <v>999</v>
      </c>
      <c r="H1004" s="137">
        <v>25000</v>
      </c>
      <c r="I1004" s="137">
        <v>25000</v>
      </c>
      <c r="J1004" s="198">
        <v>0</v>
      </c>
      <c r="K1004" s="343">
        <f t="shared" si="64"/>
        <v>0</v>
      </c>
    </row>
    <row r="1005" spans="1:11" ht="15">
      <c r="A1005" s="135" t="s">
        <v>1000</v>
      </c>
      <c r="B1005" s="95">
        <v>1000</v>
      </c>
      <c r="C1005" s="95">
        <v>1000</v>
      </c>
      <c r="D1005" s="25">
        <v>0</v>
      </c>
      <c r="E1005" s="73">
        <f t="shared" si="63"/>
        <v>0</v>
      </c>
      <c r="F1005" s="26">
        <f t="shared" si="62"/>
        <v>990</v>
      </c>
      <c r="G1005" s="149" t="s">
        <v>1001</v>
      </c>
      <c r="H1005" s="137">
        <v>6000</v>
      </c>
      <c r="I1005" s="137">
        <v>6000</v>
      </c>
      <c r="J1005" s="198">
        <v>4324.1</v>
      </c>
      <c r="K1005" s="343">
        <f t="shared" si="64"/>
        <v>72.06833333333333</v>
      </c>
    </row>
    <row r="1006" spans="1:11" ht="15">
      <c r="A1006" s="250" t="s">
        <v>1002</v>
      </c>
      <c r="B1006" s="95">
        <v>1000</v>
      </c>
      <c r="C1006" s="95">
        <v>1000</v>
      </c>
      <c r="D1006" s="150">
        <v>0</v>
      </c>
      <c r="E1006" s="73">
        <f t="shared" si="63"/>
        <v>0</v>
      </c>
      <c r="F1006" s="26">
        <f t="shared" si="62"/>
        <v>991</v>
      </c>
      <c r="G1006" s="266"/>
      <c r="H1006" s="183"/>
      <c r="I1006" s="183"/>
      <c r="J1006" s="106"/>
      <c r="K1006" s="344"/>
    </row>
    <row r="1007" spans="1:11" ht="15">
      <c r="A1007" s="267"/>
      <c r="B1007" s="104"/>
      <c r="C1007" s="104"/>
      <c r="D1007" s="155"/>
      <c r="E1007" s="106"/>
      <c r="F1007" s="26">
        <f t="shared" si="62"/>
        <v>992</v>
      </c>
      <c r="G1007" s="68" t="s">
        <v>1003</v>
      </c>
      <c r="H1007" s="69">
        <f>H1008</f>
        <v>250000</v>
      </c>
      <c r="I1007" s="69">
        <f>I1008</f>
        <v>312000</v>
      </c>
      <c r="J1007" s="70">
        <f>J1008</f>
        <v>302186</v>
      </c>
      <c r="K1007" s="216">
        <f>J1007/I1007*100</f>
        <v>96.85448717948718</v>
      </c>
    </row>
    <row r="1008" spans="1:11" ht="15">
      <c r="A1008" s="251"/>
      <c r="B1008" s="131"/>
      <c r="C1008" s="131"/>
      <c r="D1008" s="57"/>
      <c r="E1008" s="132"/>
      <c r="F1008" s="26">
        <f t="shared" si="62"/>
        <v>993</v>
      </c>
      <c r="G1008" s="77" t="s">
        <v>1004</v>
      </c>
      <c r="H1008" s="31">
        <v>250000</v>
      </c>
      <c r="I1008" s="31">
        <f>250000+0+62000</f>
        <v>312000</v>
      </c>
      <c r="J1008" s="150">
        <v>302186</v>
      </c>
      <c r="K1008" s="336">
        <f>J1008/I1008*100</f>
        <v>96.85448717948718</v>
      </c>
    </row>
    <row r="1009" spans="1:11" ht="15">
      <c r="A1009" s="251"/>
      <c r="B1009" s="131"/>
      <c r="C1009" s="131"/>
      <c r="D1009" s="57"/>
      <c r="E1009" s="132"/>
      <c r="F1009" s="26">
        <f t="shared" si="62"/>
        <v>994</v>
      </c>
      <c r="G1009" s="77"/>
      <c r="H1009" s="152"/>
      <c r="I1009" s="152"/>
      <c r="J1009" s="150"/>
      <c r="K1009" s="336"/>
    </row>
    <row r="1010" spans="1:11" ht="15">
      <c r="A1010" s="33"/>
      <c r="B1010" s="91"/>
      <c r="C1010" s="91"/>
      <c r="D1010" s="34"/>
      <c r="E1010" s="34"/>
      <c r="F1010" s="26">
        <f t="shared" si="62"/>
        <v>995</v>
      </c>
      <c r="G1010" s="191" t="s">
        <v>1005</v>
      </c>
      <c r="H1010" s="69">
        <f>SUM(H1011:H1012)</f>
        <v>81000000</v>
      </c>
      <c r="I1010" s="69">
        <f>SUM(I1011:I1012)</f>
        <v>108000000</v>
      </c>
      <c r="J1010" s="70">
        <f>SUM(J1011:J1012)</f>
        <v>117849064.25</v>
      </c>
      <c r="K1010" s="216">
        <f>J1010/I1010*100</f>
        <v>109.1195039351852</v>
      </c>
    </row>
    <row r="1011" spans="1:11" ht="15">
      <c r="A1011" s="268"/>
      <c r="B1011" s="91"/>
      <c r="C1011" s="91"/>
      <c r="D1011" s="34"/>
      <c r="E1011" s="34"/>
      <c r="F1011" s="26">
        <f t="shared" si="62"/>
        <v>996</v>
      </c>
      <c r="G1011" s="178" t="s">
        <v>1006</v>
      </c>
      <c r="H1011" s="31">
        <v>1000000</v>
      </c>
      <c r="I1011" s="31">
        <v>1000000</v>
      </c>
      <c r="J1011" s="150">
        <v>950000</v>
      </c>
      <c r="K1011" s="336">
        <f>J1011/I1011*100</f>
        <v>95</v>
      </c>
    </row>
    <row r="1012" spans="1:11" ht="15">
      <c r="A1012" s="191" t="s">
        <v>1005</v>
      </c>
      <c r="B1012" s="69">
        <f>SUM(B1013:B1015)</f>
        <v>81000000</v>
      </c>
      <c r="C1012" s="69">
        <f>SUM(C1013:C1015)</f>
        <v>108000000</v>
      </c>
      <c r="D1012" s="70">
        <f>SUM(D1013:D1015)</f>
        <v>117849064.25</v>
      </c>
      <c r="E1012" s="63">
        <f>D1012/C1012*100</f>
        <v>109.1195039351852</v>
      </c>
      <c r="F1012" s="26">
        <f t="shared" si="62"/>
        <v>997</v>
      </c>
      <c r="G1012" s="178" t="s">
        <v>1007</v>
      </c>
      <c r="H1012" s="31">
        <v>80000000</v>
      </c>
      <c r="I1012" s="31">
        <f>80000000+27000000</f>
        <v>107000000</v>
      </c>
      <c r="J1012" s="150">
        <v>116899064.25</v>
      </c>
      <c r="K1012" s="336">
        <f>J1012/I1012*100</f>
        <v>109.25146191588786</v>
      </c>
    </row>
    <row r="1013" spans="1:11" ht="15">
      <c r="A1013" s="182" t="s">
        <v>1008</v>
      </c>
      <c r="B1013" s="23">
        <v>80000000</v>
      </c>
      <c r="C1013" s="23">
        <f>80000000+0+0+0-7112000+27000000</f>
        <v>99888000</v>
      </c>
      <c r="D1013" s="55">
        <v>109769056.35</v>
      </c>
      <c r="E1013" s="25">
        <f>D1013/C1013*100</f>
        <v>109.89213554180681</v>
      </c>
      <c r="F1013" s="26">
        <f t="shared" si="62"/>
        <v>998</v>
      </c>
      <c r="G1013" s="77"/>
      <c r="H1013" s="89"/>
      <c r="I1013" s="89"/>
      <c r="J1013" s="158"/>
      <c r="K1013" s="337"/>
    </row>
    <row r="1014" spans="1:11" ht="15">
      <c r="A1014" s="269" t="s">
        <v>1009</v>
      </c>
      <c r="B1014" s="38">
        <v>1000000</v>
      </c>
      <c r="C1014" s="38">
        <v>1000000</v>
      </c>
      <c r="D1014" s="270">
        <v>950000</v>
      </c>
      <c r="E1014" s="40">
        <f>D1014/C1014*100</f>
        <v>95</v>
      </c>
      <c r="F1014" s="26">
        <f t="shared" si="62"/>
        <v>999</v>
      </c>
      <c r="G1014" s="68" t="s">
        <v>1010</v>
      </c>
      <c r="H1014" s="69">
        <f>SUM(H1015:H1017)</f>
        <v>4910000</v>
      </c>
      <c r="I1014" s="69">
        <f>SUM(I1015:I1017)</f>
        <v>3530300</v>
      </c>
      <c r="J1014" s="70">
        <f>SUM(J1015:J1017)</f>
        <v>3166222</v>
      </c>
      <c r="K1014" s="216">
        <f>J1014/I1014*100</f>
        <v>89.68705209189021</v>
      </c>
    </row>
    <row r="1015" spans="1:11" ht="15">
      <c r="A1015" s="269" t="s">
        <v>1011</v>
      </c>
      <c r="B1015" s="38">
        <v>0</v>
      </c>
      <c r="C1015" s="38">
        <f>0+0+0+0+7112000</f>
        <v>7112000</v>
      </c>
      <c r="D1015" s="270">
        <v>7130007.9</v>
      </c>
      <c r="E1015" s="40">
        <f>D1015/C1015*100</f>
        <v>100.2532044431946</v>
      </c>
      <c r="F1015" s="26">
        <f t="shared" si="62"/>
        <v>1000</v>
      </c>
      <c r="G1015" s="77" t="s">
        <v>1012</v>
      </c>
      <c r="H1015" s="31">
        <v>4400000</v>
      </c>
      <c r="I1015" s="31">
        <f>4400000-334700</f>
        <v>4065300</v>
      </c>
      <c r="J1015" s="150">
        <v>4065240</v>
      </c>
      <c r="K1015" s="336">
        <f>J1015/I1015*100</f>
        <v>99.99852409416279</v>
      </c>
    </row>
    <row r="1016" spans="1:11" ht="15">
      <c r="A1016" s="172"/>
      <c r="B1016" s="66"/>
      <c r="C1016" s="66"/>
      <c r="D1016" s="327"/>
      <c r="E1016" s="327"/>
      <c r="F1016" s="26">
        <f t="shared" si="62"/>
        <v>1001</v>
      </c>
      <c r="G1016" s="77" t="s">
        <v>1013</v>
      </c>
      <c r="H1016" s="31">
        <v>10000</v>
      </c>
      <c r="I1016" s="31">
        <v>10000</v>
      </c>
      <c r="J1016" s="150">
        <v>6385</v>
      </c>
      <c r="K1016" s="336">
        <f>J1016/I1016*100</f>
        <v>63.849999999999994</v>
      </c>
    </row>
    <row r="1017" spans="1:12" ht="15">
      <c r="A1017" s="36"/>
      <c r="B1017" s="91"/>
      <c r="C1017" s="91"/>
      <c r="D1017" s="34"/>
      <c r="E1017" s="34"/>
      <c r="F1017" s="26">
        <f t="shared" si="62"/>
        <v>1002</v>
      </c>
      <c r="G1017" s="77" t="s">
        <v>1014</v>
      </c>
      <c r="H1017" s="31">
        <v>500000</v>
      </c>
      <c r="I1017" s="31">
        <v>-545000</v>
      </c>
      <c r="J1017" s="150">
        <v>-905403</v>
      </c>
      <c r="K1017" s="336">
        <f>J1017/I1017*100</f>
        <v>166.12899082568808</v>
      </c>
      <c r="L1017" s="160"/>
    </row>
    <row r="1018" spans="1:11" ht="15">
      <c r="A1018" s="36"/>
      <c r="B1018" s="91"/>
      <c r="C1018" s="91"/>
      <c r="D1018" s="34"/>
      <c r="E1018" s="34"/>
      <c r="F1018" s="26">
        <f t="shared" si="62"/>
        <v>1003</v>
      </c>
      <c r="G1018" s="77"/>
      <c r="H1018" s="78"/>
      <c r="I1018" s="78"/>
      <c r="J1018" s="79"/>
      <c r="K1018" s="337"/>
    </row>
    <row r="1019" spans="1:11" ht="15">
      <c r="A1019" s="36"/>
      <c r="B1019" s="91"/>
      <c r="C1019" s="91"/>
      <c r="D1019" s="34"/>
      <c r="E1019" s="34"/>
      <c r="F1019" s="26">
        <f t="shared" si="62"/>
        <v>1004</v>
      </c>
      <c r="G1019" s="220" t="s">
        <v>1015</v>
      </c>
      <c r="H1019" s="69">
        <f>SUM(H1020:H1022)</f>
        <v>92300</v>
      </c>
      <c r="I1019" s="69">
        <f>SUM(I1020:I1022)</f>
        <v>94400</v>
      </c>
      <c r="J1019" s="70">
        <f>SUM(J1020:J1022)</f>
        <v>94245.8</v>
      </c>
      <c r="K1019" s="216">
        <f>J1019/I1019*100</f>
        <v>99.83665254237289</v>
      </c>
    </row>
    <row r="1020" spans="1:11" ht="15">
      <c r="A1020" s="36"/>
      <c r="B1020" s="91"/>
      <c r="C1020" s="91"/>
      <c r="D1020" s="34"/>
      <c r="E1020" s="34"/>
      <c r="F1020" s="26">
        <f t="shared" si="62"/>
        <v>1005</v>
      </c>
      <c r="G1020" s="148" t="s">
        <v>1016</v>
      </c>
      <c r="H1020" s="31">
        <v>44600</v>
      </c>
      <c r="I1020" s="31">
        <v>44600</v>
      </c>
      <c r="J1020" s="150">
        <v>44599</v>
      </c>
      <c r="K1020" s="336">
        <f>J1020/I1020*100</f>
        <v>99.99775784753363</v>
      </c>
    </row>
    <row r="1021" spans="1:11" ht="15">
      <c r="A1021" s="271"/>
      <c r="B1021" s="272"/>
      <c r="C1021" s="272"/>
      <c r="D1021" s="273"/>
      <c r="E1021" s="273"/>
      <c r="F1021" s="26">
        <f t="shared" si="62"/>
        <v>1006</v>
      </c>
      <c r="G1021" s="148" t="s">
        <v>1017</v>
      </c>
      <c r="H1021" s="31">
        <v>47700</v>
      </c>
      <c r="I1021" s="31">
        <v>47700</v>
      </c>
      <c r="J1021" s="150">
        <v>47629.8</v>
      </c>
      <c r="K1021" s="336">
        <f>J1021/I1021*100</f>
        <v>99.85283018867925</v>
      </c>
    </row>
    <row r="1022" spans="1:11" ht="15">
      <c r="A1022" s="36"/>
      <c r="B1022" s="188"/>
      <c r="C1022" s="188"/>
      <c r="D1022" s="34"/>
      <c r="E1022" s="189"/>
      <c r="F1022" s="26">
        <f t="shared" si="62"/>
        <v>1007</v>
      </c>
      <c r="G1022" s="148" t="s">
        <v>1018</v>
      </c>
      <c r="H1022" s="31"/>
      <c r="I1022" s="31">
        <f>0+0+2100</f>
        <v>2100</v>
      </c>
      <c r="J1022" s="150">
        <v>2017</v>
      </c>
      <c r="K1022" s="336"/>
    </row>
    <row r="1023" spans="1:11" ht="15">
      <c r="A1023" s="36"/>
      <c r="B1023" s="188"/>
      <c r="C1023" s="188"/>
      <c r="D1023" s="34"/>
      <c r="E1023" s="189"/>
      <c r="F1023" s="26">
        <f t="shared" si="62"/>
        <v>1008</v>
      </c>
      <c r="G1023" s="274"/>
      <c r="H1023" s="275"/>
      <c r="I1023" s="275"/>
      <c r="J1023" s="276"/>
      <c r="K1023" s="348"/>
    </row>
    <row r="1024" spans="1:11" ht="15">
      <c r="A1024" s="277" t="s">
        <v>1019</v>
      </c>
      <c r="B1024" s="69">
        <f>SUM(B1025:B1032)</f>
        <v>46651800</v>
      </c>
      <c r="C1024" s="69">
        <f>SUM(C1025:C1032)</f>
        <v>730000</v>
      </c>
      <c r="D1024" s="70">
        <f>SUM(D1025:D1032)</f>
        <v>175501.1</v>
      </c>
      <c r="E1024" s="93">
        <f aca="true" t="shared" si="65" ref="E1024:E1032">D1024/C1024*100</f>
        <v>24.041246575342466</v>
      </c>
      <c r="F1024" s="26">
        <f t="shared" si="62"/>
        <v>1009</v>
      </c>
      <c r="G1024" s="220" t="s">
        <v>1020</v>
      </c>
      <c r="H1024" s="69">
        <f>SUM(H1025:H1032)</f>
        <v>2277200</v>
      </c>
      <c r="I1024" s="69">
        <f>SUM(I1025:I1032)</f>
        <v>841600</v>
      </c>
      <c r="J1024" s="70">
        <f>SUM(J1025:J1032)</f>
        <v>86928.40000000001</v>
      </c>
      <c r="K1024" s="216">
        <f>J1024/I1024*100</f>
        <v>10.328944866920153</v>
      </c>
    </row>
    <row r="1025" spans="1:11" ht="15">
      <c r="A1025" s="151" t="s">
        <v>1029</v>
      </c>
      <c r="B1025" s="95">
        <f>7397300+620100+60500</f>
        <v>8077900</v>
      </c>
      <c r="C1025" s="95">
        <f>7397300+620100+60500-8077900</f>
        <v>0</v>
      </c>
      <c r="D1025" s="25">
        <v>0</v>
      </c>
      <c r="E1025" s="73" t="e">
        <f t="shared" si="65"/>
        <v>#DIV/0!</v>
      </c>
      <c r="F1025" s="26">
        <f t="shared" si="62"/>
        <v>1010</v>
      </c>
      <c r="G1025" s="147" t="s">
        <v>1021</v>
      </c>
      <c r="H1025" s="31">
        <v>50000</v>
      </c>
      <c r="I1025" s="31">
        <v>50000</v>
      </c>
      <c r="J1025" s="73">
        <v>42900.2</v>
      </c>
      <c r="K1025" s="336">
        <f>J1025/I1025*100</f>
        <v>85.8004</v>
      </c>
    </row>
    <row r="1026" spans="1:11" ht="15">
      <c r="A1026" s="151" t="s">
        <v>1030</v>
      </c>
      <c r="B1026" s="95">
        <f>6216400+264200+2500000+1328700+2061100+316200</f>
        <v>12686600</v>
      </c>
      <c r="C1026" s="95">
        <f>6216400+264200+2500000+1328700+2061100+316200-12686600</f>
        <v>0</v>
      </c>
      <c r="D1026" s="25"/>
      <c r="E1026" s="73" t="e">
        <f t="shared" si="65"/>
        <v>#DIV/0!</v>
      </c>
      <c r="F1026" s="26">
        <f t="shared" si="62"/>
        <v>1011</v>
      </c>
      <c r="G1026" s="146" t="s">
        <v>1022</v>
      </c>
      <c r="H1026" s="31">
        <v>70000</v>
      </c>
      <c r="I1026" s="31">
        <f>70000+0-2000-4000+0-6000</f>
        <v>58000</v>
      </c>
      <c r="J1026" s="73">
        <v>31192.13</v>
      </c>
      <c r="K1026" s="336">
        <f>J1026/I1026*100</f>
        <v>53.77953448275862</v>
      </c>
    </row>
    <row r="1027" spans="1:11" ht="15">
      <c r="A1027" s="259" t="s">
        <v>1031</v>
      </c>
      <c r="B1027" s="95">
        <v>15787300</v>
      </c>
      <c r="C1027" s="95">
        <f>15787300-0-2277200+0+0+0+0+0-4745600-8764500</f>
        <v>0</v>
      </c>
      <c r="D1027" s="73">
        <v>0</v>
      </c>
      <c r="E1027" s="73" t="e">
        <f t="shared" si="65"/>
        <v>#DIV/0!</v>
      </c>
      <c r="F1027" s="26">
        <f t="shared" si="62"/>
        <v>1012</v>
      </c>
      <c r="G1027" s="146" t="s">
        <v>1023</v>
      </c>
      <c r="H1027" s="31">
        <v>0</v>
      </c>
      <c r="I1027" s="31">
        <f>0+12000</f>
        <v>12000</v>
      </c>
      <c r="J1027" s="73">
        <v>221.07</v>
      </c>
      <c r="K1027" s="336">
        <f>J1027/I1027*100</f>
        <v>1.8422499999999997</v>
      </c>
    </row>
    <row r="1028" spans="1:11" ht="30">
      <c r="A1028" s="280" t="s">
        <v>1032</v>
      </c>
      <c r="B1028" s="23">
        <v>9500000</v>
      </c>
      <c r="C1028" s="23">
        <f>9500000+0+0+0-9500000</f>
        <v>0</v>
      </c>
      <c r="D1028" s="25">
        <v>0</v>
      </c>
      <c r="E1028" s="73" t="e">
        <f t="shared" si="65"/>
        <v>#DIV/0!</v>
      </c>
      <c r="F1028" s="26">
        <f t="shared" si="62"/>
        <v>1013</v>
      </c>
      <c r="G1028" s="146" t="s">
        <v>1024</v>
      </c>
      <c r="H1028" s="31">
        <v>0</v>
      </c>
      <c r="I1028" s="31">
        <f>0+0+0+0+17000</f>
        <v>17000</v>
      </c>
      <c r="J1028" s="73">
        <v>12615</v>
      </c>
      <c r="K1028" s="336">
        <f>J1028/I1028*100</f>
        <v>74.20588235294117</v>
      </c>
    </row>
    <row r="1029" spans="1:11" ht="15">
      <c r="A1029" s="148" t="s">
        <v>1033</v>
      </c>
      <c r="B1029" s="95">
        <v>0</v>
      </c>
      <c r="C1029" s="95">
        <f>0+150000</f>
        <v>150000</v>
      </c>
      <c r="D1029" s="73">
        <v>150000</v>
      </c>
      <c r="E1029" s="73">
        <f t="shared" si="65"/>
        <v>100</v>
      </c>
      <c r="F1029" s="26">
        <f t="shared" si="62"/>
        <v>1014</v>
      </c>
      <c r="G1029" s="278" t="s">
        <v>1025</v>
      </c>
      <c r="H1029" s="31"/>
      <c r="I1029" s="31"/>
      <c r="J1029" s="150"/>
      <c r="K1029" s="336"/>
    </row>
    <row r="1030" spans="1:11" ht="15">
      <c r="A1030" s="148" t="s">
        <v>1034</v>
      </c>
      <c r="B1030" s="95">
        <v>50000</v>
      </c>
      <c r="C1030" s="95">
        <v>30000</v>
      </c>
      <c r="D1030" s="73">
        <v>25501.1</v>
      </c>
      <c r="E1030" s="73">
        <f t="shared" si="65"/>
        <v>85.00366666666666</v>
      </c>
      <c r="F1030" s="26">
        <f t="shared" si="62"/>
        <v>1015</v>
      </c>
      <c r="G1030" s="274" t="s">
        <v>1026</v>
      </c>
      <c r="H1030" s="31">
        <v>1557200</v>
      </c>
      <c r="I1030" s="31">
        <f>1557200+0-1146100+0-311500+5000</f>
        <v>104600</v>
      </c>
      <c r="J1030" s="150">
        <v>0</v>
      </c>
      <c r="K1030" s="336">
        <f>J1030/I1030*100</f>
        <v>0</v>
      </c>
    </row>
    <row r="1031" spans="1:11" ht="15">
      <c r="A1031" s="77" t="s">
        <v>1035</v>
      </c>
      <c r="B1031" s="95">
        <v>500000</v>
      </c>
      <c r="C1031" s="95">
        <v>500000</v>
      </c>
      <c r="D1031" s="73">
        <v>0</v>
      </c>
      <c r="E1031" s="73">
        <f t="shared" si="65"/>
        <v>0</v>
      </c>
      <c r="F1031" s="26">
        <f t="shared" si="62"/>
        <v>1016</v>
      </c>
      <c r="G1031" s="148" t="s">
        <v>1027</v>
      </c>
      <c r="H1031" s="31">
        <v>500000</v>
      </c>
      <c r="I1031" s="31">
        <v>500000</v>
      </c>
      <c r="J1031" s="150">
        <v>0</v>
      </c>
      <c r="K1031" s="336">
        <f>J1031/I1031*100</f>
        <v>0</v>
      </c>
    </row>
    <row r="1032" spans="1:11" ht="15">
      <c r="A1032" s="77" t="s">
        <v>1036</v>
      </c>
      <c r="B1032" s="95">
        <v>50000</v>
      </c>
      <c r="C1032" s="95">
        <v>50000</v>
      </c>
      <c r="D1032" s="73">
        <v>0</v>
      </c>
      <c r="E1032" s="73">
        <f t="shared" si="65"/>
        <v>0</v>
      </c>
      <c r="F1032" s="26">
        <f t="shared" si="62"/>
        <v>1017</v>
      </c>
      <c r="G1032" s="148" t="s">
        <v>1028</v>
      </c>
      <c r="H1032" s="31">
        <v>100000</v>
      </c>
      <c r="I1032" s="31">
        <v>100000</v>
      </c>
      <c r="J1032" s="150">
        <v>0</v>
      </c>
      <c r="K1032" s="336">
        <f>J1032/I1032*100</f>
        <v>0</v>
      </c>
    </row>
    <row r="1033" spans="1:11" ht="15.75" thickBot="1">
      <c r="A1033" s="282"/>
      <c r="B1033" s="131"/>
      <c r="C1033" s="131"/>
      <c r="D1033" s="132"/>
      <c r="E1033" s="132"/>
      <c r="F1033" s="26">
        <f t="shared" si="62"/>
        <v>1018</v>
      </c>
      <c r="G1033" s="283"/>
      <c r="H1033" s="284"/>
      <c r="I1033" s="284"/>
      <c r="J1033" s="285"/>
      <c r="K1033" s="353"/>
    </row>
    <row r="1034" spans="1:11" ht="15.75" thickBot="1">
      <c r="A1034" s="286" t="s">
        <v>1037</v>
      </c>
      <c r="B1034" s="287">
        <f>SUM(B16:B1032)/2</f>
        <v>257322500</v>
      </c>
      <c r="C1034" s="287">
        <f>SUM(C16:C1032)/2</f>
        <v>291879400</v>
      </c>
      <c r="D1034" s="288">
        <f>SUM(D16:D1032)/2</f>
        <v>298527309.52000004</v>
      </c>
      <c r="E1034" s="289">
        <f>D1034/C1034*100</f>
        <v>102.2776220315651</v>
      </c>
      <c r="F1034" s="26">
        <f t="shared" si="62"/>
        <v>1019</v>
      </c>
      <c r="G1034" s="290" t="s">
        <v>1038</v>
      </c>
      <c r="H1034" s="291">
        <f>SUM(H96:H1033)/2</f>
        <v>272097700</v>
      </c>
      <c r="I1034" s="291">
        <f>SUM(I96:I1033)/2</f>
        <v>307810800</v>
      </c>
      <c r="J1034" s="292">
        <f>SUM(J96:J1033)/2</f>
        <v>298940093.63</v>
      </c>
      <c r="K1034" s="354">
        <f>J1034/I1034*100</f>
        <v>97.11813023779541</v>
      </c>
    </row>
    <row r="1035" spans="1:11" ht="15">
      <c r="A1035" s="65"/>
      <c r="B1035" s="173"/>
      <c r="C1035" s="173"/>
      <c r="D1035" s="174"/>
      <c r="E1035" s="174"/>
      <c r="F1035" s="26">
        <f t="shared" si="62"/>
        <v>1020</v>
      </c>
      <c r="G1035" s="36"/>
      <c r="H1035" s="59"/>
      <c r="I1035" s="59"/>
      <c r="J1035" s="34"/>
      <c r="K1035" s="332"/>
    </row>
    <row r="1036" spans="1:11" ht="15.75" thickBot="1">
      <c r="A1036" s="65"/>
      <c r="B1036" s="173"/>
      <c r="C1036" s="173"/>
      <c r="D1036" s="174"/>
      <c r="E1036" s="174"/>
      <c r="F1036" s="26">
        <f t="shared" si="62"/>
        <v>1021</v>
      </c>
      <c r="G1036" s="36"/>
      <c r="H1036" s="59"/>
      <c r="I1036" s="59"/>
      <c r="J1036" s="34"/>
      <c r="K1036" s="332"/>
    </row>
    <row r="1037" spans="1:11" ht="15">
      <c r="A1037" s="279" t="s">
        <v>1073</v>
      </c>
      <c r="B1037" s="91"/>
      <c r="C1037" s="91"/>
      <c r="D1037" s="327"/>
      <c r="E1037" s="91"/>
      <c r="F1037" s="26">
        <f t="shared" si="62"/>
        <v>1022</v>
      </c>
      <c r="G1037" s="293"/>
      <c r="H1037" s="388" t="s">
        <v>21</v>
      </c>
      <c r="I1037" s="389"/>
      <c r="J1037" s="389"/>
      <c r="K1037" s="390"/>
    </row>
    <row r="1038" spans="1:11" ht="15.75" thickBot="1">
      <c r="A1038" s="281" t="s">
        <v>1039</v>
      </c>
      <c r="B1038" s="373">
        <v>9192213.02</v>
      </c>
      <c r="C1038" s="373"/>
      <c r="D1038" s="163"/>
      <c r="E1038" s="144"/>
      <c r="F1038" s="26">
        <f t="shared" si="62"/>
        <v>1023</v>
      </c>
      <c r="G1038" s="294" t="s">
        <v>1040</v>
      </c>
      <c r="H1038" s="295" t="s">
        <v>28</v>
      </c>
      <c r="I1038" s="296" t="s">
        <v>24</v>
      </c>
      <c r="J1038" s="8" t="s">
        <v>1072</v>
      </c>
      <c r="K1038" s="355" t="s">
        <v>25</v>
      </c>
    </row>
    <row r="1039" spans="1:11" ht="15">
      <c r="A1039" s="281" t="s">
        <v>1041</v>
      </c>
      <c r="B1039" s="373">
        <v>167935.72</v>
      </c>
      <c r="C1039" s="373"/>
      <c r="D1039" s="144"/>
      <c r="E1039" s="144"/>
      <c r="F1039" s="26">
        <f t="shared" si="62"/>
        <v>1024</v>
      </c>
      <c r="G1039" s="279" t="s">
        <v>1042</v>
      </c>
      <c r="H1039" s="297">
        <f>SUM(H1040:H1043)</f>
        <v>23100600</v>
      </c>
      <c r="I1039" s="297">
        <f>SUM(I1040:I1043)</f>
        <v>23100600</v>
      </c>
      <c r="J1039" s="298">
        <v>6992718.95</v>
      </c>
      <c r="K1039" s="356"/>
    </row>
    <row r="1040" spans="1:11" ht="15">
      <c r="A1040" s="281" t="s">
        <v>1043</v>
      </c>
      <c r="B1040" s="373">
        <v>743947</v>
      </c>
      <c r="C1040" s="373"/>
      <c r="D1040" s="163"/>
      <c r="E1040" s="144"/>
      <c r="F1040" s="26">
        <f t="shared" si="62"/>
        <v>1025</v>
      </c>
      <c r="G1040" s="148" t="s">
        <v>1039</v>
      </c>
      <c r="H1040" s="23">
        <v>17901500</v>
      </c>
      <c r="I1040" s="23">
        <v>17901500</v>
      </c>
      <c r="J1040" s="25"/>
      <c r="K1040" s="342"/>
    </row>
    <row r="1041" spans="1:11" ht="15">
      <c r="A1041" s="281" t="s">
        <v>1044</v>
      </c>
      <c r="B1041" s="391">
        <v>6003751.91</v>
      </c>
      <c r="C1041" s="373"/>
      <c r="D1041" s="144"/>
      <c r="E1041" s="144"/>
      <c r="F1041" s="26">
        <f t="shared" si="62"/>
        <v>1026</v>
      </c>
      <c r="G1041" s="148" t="s">
        <v>1041</v>
      </c>
      <c r="H1041" s="23">
        <v>61400</v>
      </c>
      <c r="I1041" s="23">
        <v>61400</v>
      </c>
      <c r="J1041" s="25"/>
      <c r="K1041" s="342"/>
    </row>
    <row r="1042" spans="1:11" ht="15">
      <c r="A1042" s="172" t="s">
        <v>1045</v>
      </c>
      <c r="B1042" s="370">
        <f>SUM(B1038:C1041)</f>
        <v>16107847.65</v>
      </c>
      <c r="C1042" s="370"/>
      <c r="D1042" s="144"/>
      <c r="E1042" s="144"/>
      <c r="F1042" s="26">
        <f t="shared" si="62"/>
        <v>1027</v>
      </c>
      <c r="G1042" s="148" t="s">
        <v>1043</v>
      </c>
      <c r="H1042" s="23">
        <v>436700</v>
      </c>
      <c r="I1042" s="23">
        <v>436700</v>
      </c>
      <c r="J1042" s="25"/>
      <c r="K1042" s="342"/>
    </row>
    <row r="1043" spans="1:11" ht="15">
      <c r="A1043" s="172"/>
      <c r="B1043" s="299"/>
      <c r="C1043" s="299"/>
      <c r="D1043" s="144"/>
      <c r="E1043" s="144"/>
      <c r="F1043" s="26">
        <f t="shared" si="62"/>
        <v>1028</v>
      </c>
      <c r="G1043" s="148" t="s">
        <v>1046</v>
      </c>
      <c r="H1043" s="23">
        <v>4701000</v>
      </c>
      <c r="I1043" s="23">
        <v>4701000</v>
      </c>
      <c r="J1043" s="25"/>
      <c r="K1043" s="342"/>
    </row>
    <row r="1044" spans="1:11" ht="15">
      <c r="A1044" s="279" t="s">
        <v>1074</v>
      </c>
      <c r="B1044" s="299"/>
      <c r="C1044" s="299"/>
      <c r="D1044" s="144"/>
      <c r="E1044" s="144"/>
      <c r="F1044" s="26">
        <f aca="true" t="shared" si="66" ref="F1044:F1060">F1043+1</f>
        <v>1029</v>
      </c>
      <c r="G1044" s="148"/>
      <c r="H1044" s="78"/>
      <c r="I1044" s="78"/>
      <c r="J1044" s="79"/>
      <c r="K1044" s="346"/>
    </row>
    <row r="1045" spans="1:11" ht="15">
      <c r="A1045" s="281" t="s">
        <v>1047</v>
      </c>
      <c r="B1045" s="373">
        <v>6000000</v>
      </c>
      <c r="C1045" s="373"/>
      <c r="D1045" s="144"/>
      <c r="E1045" s="144"/>
      <c r="F1045" s="26">
        <f t="shared" si="66"/>
        <v>1030</v>
      </c>
      <c r="G1045" s="300" t="s">
        <v>1048</v>
      </c>
      <c r="H1045" s="126">
        <f>SUM(H1046:H1047)</f>
        <v>15787300</v>
      </c>
      <c r="I1045" s="126">
        <f>SUM(I1046:I1047)</f>
        <v>33787300</v>
      </c>
      <c r="J1045" s="127">
        <f>SUM(J1046:J1047)</f>
        <v>26327310.990000002</v>
      </c>
      <c r="K1045" s="216">
        <f>J1045/I1045*100</f>
        <v>77.92073054076532</v>
      </c>
    </row>
    <row r="1046" spans="1:11" ht="15">
      <c r="A1046" s="281" t="s">
        <v>1049</v>
      </c>
      <c r="B1046" s="373">
        <v>1985586.18</v>
      </c>
      <c r="C1046" s="374"/>
      <c r="D1046" s="144"/>
      <c r="E1046" s="144"/>
      <c r="F1046" s="26">
        <f t="shared" si="66"/>
        <v>1031</v>
      </c>
      <c r="G1046" s="148" t="s">
        <v>1050</v>
      </c>
      <c r="H1046" s="23">
        <v>15787300</v>
      </c>
      <c r="I1046" s="23">
        <f>15787300-0-2000000</f>
        <v>13787300</v>
      </c>
      <c r="J1046" s="25">
        <v>11707654.4</v>
      </c>
      <c r="K1046" s="342">
        <f>J1046/I1046*100</f>
        <v>84.91622290078551</v>
      </c>
    </row>
    <row r="1047" spans="1:11" ht="15">
      <c r="A1047" s="281" t="s">
        <v>1051</v>
      </c>
      <c r="B1047" s="373">
        <v>0</v>
      </c>
      <c r="C1047" s="373"/>
      <c r="D1047" s="301"/>
      <c r="E1047" s="301"/>
      <c r="F1047" s="26">
        <f t="shared" si="66"/>
        <v>1032</v>
      </c>
      <c r="G1047" s="148" t="s">
        <v>1052</v>
      </c>
      <c r="H1047" s="23">
        <v>0</v>
      </c>
      <c r="I1047" s="23">
        <f>20000000</f>
        <v>20000000</v>
      </c>
      <c r="J1047" s="25">
        <v>14619656.59</v>
      </c>
      <c r="K1047" s="342">
        <f>J1047/I1047*100</f>
        <v>73.09828295</v>
      </c>
    </row>
    <row r="1048" spans="1:11" ht="15">
      <c r="A1048" s="281" t="s">
        <v>1053</v>
      </c>
      <c r="B1048" s="373">
        <v>10390000</v>
      </c>
      <c r="C1048" s="374"/>
      <c r="D1048" s="301"/>
      <c r="E1048" s="301"/>
      <c r="F1048" s="26">
        <f t="shared" si="66"/>
        <v>1033</v>
      </c>
      <c r="G1048" s="274"/>
      <c r="H1048" s="234"/>
      <c r="I1048" s="234"/>
      <c r="J1048" s="235"/>
      <c r="K1048" s="357"/>
    </row>
    <row r="1049" spans="1:11" ht="15">
      <c r="A1049" s="281" t="s">
        <v>1054</v>
      </c>
      <c r="B1049" s="373">
        <v>3370081.98</v>
      </c>
      <c r="C1049" s="374"/>
      <c r="D1049" s="301"/>
      <c r="E1049" s="177"/>
      <c r="F1049" s="26">
        <f t="shared" si="66"/>
        <v>1034</v>
      </c>
      <c r="G1049" s="92" t="s">
        <v>1055</v>
      </c>
      <c r="H1049" s="126">
        <f>SUM(H1050:H1055)</f>
        <v>-24612700</v>
      </c>
      <c r="I1049" s="126">
        <f>SUM(I1050:I1055)</f>
        <v>-37703200</v>
      </c>
      <c r="J1049" s="127">
        <f>SUM(J1050:J1055)</f>
        <v>-29738294.520000003</v>
      </c>
      <c r="K1049" s="352">
        <f aca="true" t="shared" si="67" ref="K1049:K1055">J1049/I1049*100</f>
        <v>78.87472288824291</v>
      </c>
    </row>
    <row r="1050" spans="1:11" ht="15">
      <c r="A1050" s="281" t="s">
        <v>1056</v>
      </c>
      <c r="B1050" s="373">
        <v>2044334.49</v>
      </c>
      <c r="C1050" s="373"/>
      <c r="D1050" s="301"/>
      <c r="E1050" s="177"/>
      <c r="F1050" s="26">
        <f t="shared" si="66"/>
        <v>1035</v>
      </c>
      <c r="G1050" s="302" t="s">
        <v>1057</v>
      </c>
      <c r="H1050" s="23">
        <v>-507000</v>
      </c>
      <c r="I1050" s="95">
        <v>-507000</v>
      </c>
      <c r="J1050" s="25">
        <f>-42250*12</f>
        <v>-507000</v>
      </c>
      <c r="K1050" s="358">
        <f t="shared" si="67"/>
        <v>100</v>
      </c>
    </row>
    <row r="1051" spans="1:11" ht="15">
      <c r="A1051" s="172" t="s">
        <v>1045</v>
      </c>
      <c r="B1051" s="370">
        <f>SUM(B1045:C1050)</f>
        <v>23790002.65</v>
      </c>
      <c r="C1051" s="370"/>
      <c r="D1051" s="301"/>
      <c r="E1051" s="177"/>
      <c r="F1051" s="26">
        <f t="shared" si="66"/>
        <v>1036</v>
      </c>
      <c r="G1051" s="302" t="s">
        <v>1058</v>
      </c>
      <c r="H1051" s="23">
        <v>-3000000</v>
      </c>
      <c r="I1051" s="95">
        <v>-3000000</v>
      </c>
      <c r="J1051" s="25">
        <f>-250000*12</f>
        <v>-3000000</v>
      </c>
      <c r="K1051" s="358">
        <f t="shared" si="67"/>
        <v>100</v>
      </c>
    </row>
    <row r="1052" spans="1:11" ht="15">
      <c r="A1052" s="172"/>
      <c r="B1052" s="370"/>
      <c r="C1052" s="370"/>
      <c r="D1052" s="301"/>
      <c r="E1052" s="177"/>
      <c r="F1052" s="26">
        <f t="shared" si="66"/>
        <v>1037</v>
      </c>
      <c r="G1052" s="302" t="s">
        <v>1059</v>
      </c>
      <c r="H1052" s="23">
        <v>-4188000</v>
      </c>
      <c r="I1052" s="95">
        <v>-4188000</v>
      </c>
      <c r="J1052" s="25">
        <f>-349000*12</f>
        <v>-4188000</v>
      </c>
      <c r="K1052" s="358">
        <f t="shared" si="67"/>
        <v>100</v>
      </c>
    </row>
    <row r="1053" spans="1:12" ht="15">
      <c r="A1053" s="172"/>
      <c r="B1053" s="327"/>
      <c r="C1053" s="327"/>
      <c r="D1053" s="301"/>
      <c r="E1053" s="177"/>
      <c r="F1053" s="26">
        <f t="shared" si="66"/>
        <v>1038</v>
      </c>
      <c r="G1053" s="302" t="s">
        <v>1060</v>
      </c>
      <c r="H1053" s="23">
        <v>-1130400</v>
      </c>
      <c r="I1053" s="95">
        <v>-1130400</v>
      </c>
      <c r="J1053" s="25">
        <f>-94200*12</f>
        <v>-1130400</v>
      </c>
      <c r="K1053" s="358">
        <f t="shared" si="67"/>
        <v>100</v>
      </c>
      <c r="L1053" s="159"/>
    </row>
    <row r="1054" spans="1:11" ht="15.75" thickBot="1">
      <c r="A1054" s="172"/>
      <c r="B1054" s="327"/>
      <c r="C1054" s="327"/>
      <c r="D1054" s="301"/>
      <c r="E1054" s="177"/>
      <c r="F1054" s="26">
        <f t="shared" si="66"/>
        <v>1039</v>
      </c>
      <c r="G1054" s="302" t="s">
        <v>1061</v>
      </c>
      <c r="H1054" s="260">
        <v>-15787300</v>
      </c>
      <c r="I1054" s="260">
        <f>-15787300+0+2000000</f>
        <v>-13787300</v>
      </c>
      <c r="J1054" s="261">
        <v>-8337572.42</v>
      </c>
      <c r="K1054" s="359">
        <f t="shared" si="67"/>
        <v>60.47284399411053</v>
      </c>
    </row>
    <row r="1055" spans="1:11" ht="15.75" thickBot="1">
      <c r="A1055" s="303"/>
      <c r="B1055" s="371" t="s">
        <v>21</v>
      </c>
      <c r="C1055" s="372"/>
      <c r="D1055" s="372"/>
      <c r="E1055" s="372"/>
      <c r="F1055" s="26">
        <f t="shared" si="66"/>
        <v>1040</v>
      </c>
      <c r="G1055" s="302" t="s">
        <v>1062</v>
      </c>
      <c r="H1055" s="260">
        <v>0</v>
      </c>
      <c r="I1055" s="260">
        <f>-9000000-6090500</f>
        <v>-15090500</v>
      </c>
      <c r="J1055" s="261">
        <v>-12575322.1</v>
      </c>
      <c r="K1055" s="359">
        <f t="shared" si="67"/>
        <v>83.33270666975912</v>
      </c>
    </row>
    <row r="1056" spans="1:11" ht="15.75" thickBot="1">
      <c r="A1056" s="304" t="s">
        <v>1063</v>
      </c>
      <c r="B1056" s="305" t="s">
        <v>1064</v>
      </c>
      <c r="C1056" s="306" t="s">
        <v>1065</v>
      </c>
      <c r="D1056" s="8" t="s">
        <v>1072</v>
      </c>
      <c r="E1056" s="295" t="s">
        <v>25</v>
      </c>
      <c r="F1056" s="26">
        <f t="shared" si="66"/>
        <v>1041</v>
      </c>
      <c r="G1056" s="302"/>
      <c r="H1056" s="78"/>
      <c r="I1056" s="78"/>
      <c r="J1056" s="79"/>
      <c r="K1056" s="360"/>
    </row>
    <row r="1057" spans="1:11" ht="15">
      <c r="A1057" s="307" t="s">
        <v>1037</v>
      </c>
      <c r="B1057" s="308">
        <f>B1034</f>
        <v>257322500</v>
      </c>
      <c r="C1057" s="15">
        <f>C1034</f>
        <v>291879400</v>
      </c>
      <c r="D1057" s="16">
        <f>D1034</f>
        <v>298527309.52000004</v>
      </c>
      <c r="E1057" s="309">
        <f>D1057/C1057*100</f>
        <v>102.2776220315651</v>
      </c>
      <c r="F1057" s="26">
        <f t="shared" si="66"/>
        <v>1042</v>
      </c>
      <c r="G1057" s="300" t="s">
        <v>1066</v>
      </c>
      <c r="H1057" s="69">
        <f>H1058</f>
        <v>500000</v>
      </c>
      <c r="I1057" s="69">
        <f>I1058</f>
        <v>-3253300</v>
      </c>
      <c r="J1057" s="70">
        <f>J1058</f>
        <v>-3168951.31</v>
      </c>
      <c r="K1057" s="216">
        <f>J1057/I1057*100</f>
        <v>97.40728829188824</v>
      </c>
    </row>
    <row r="1058" spans="1:11" ht="15">
      <c r="A1058" s="307" t="s">
        <v>1038</v>
      </c>
      <c r="B1058" s="308">
        <f>H1034</f>
        <v>272097700</v>
      </c>
      <c r="C1058" s="23">
        <f>I1034</f>
        <v>307810800</v>
      </c>
      <c r="D1058" s="24">
        <f>J1034</f>
        <v>298940093.63</v>
      </c>
      <c r="E1058" s="310">
        <f>D1058/C1058*100</f>
        <v>97.11813023779541</v>
      </c>
      <c r="F1058" s="26">
        <f t="shared" si="66"/>
        <v>1043</v>
      </c>
      <c r="G1058" s="148" t="s">
        <v>1067</v>
      </c>
      <c r="H1058" s="23">
        <v>500000</v>
      </c>
      <c r="I1058" s="23">
        <v>-3253300</v>
      </c>
      <c r="J1058" s="25">
        <v>-3168951.31</v>
      </c>
      <c r="K1058" s="358">
        <f>J1058/I1058*100</f>
        <v>97.40728829188824</v>
      </c>
    </row>
    <row r="1059" spans="1:11" ht="15.75" thickBot="1">
      <c r="A1059" s="307" t="s">
        <v>1068</v>
      </c>
      <c r="B1059" s="308">
        <f>H1060</f>
        <v>14775200</v>
      </c>
      <c r="C1059" s="23">
        <f>I1060</f>
        <v>15931400</v>
      </c>
      <c r="D1059" s="24">
        <f>J1060</f>
        <v>412784.109999998</v>
      </c>
      <c r="E1059" s="310">
        <f>D1059/C1059*100</f>
        <v>2.591009641337221</v>
      </c>
      <c r="F1059" s="26">
        <f t="shared" si="66"/>
        <v>1044</v>
      </c>
      <c r="G1059" s="50"/>
      <c r="H1059" s="119"/>
      <c r="I1059" s="312"/>
      <c r="J1059" s="120"/>
      <c r="K1059" s="333"/>
    </row>
    <row r="1060" spans="1:11" ht="15.75" thickBot="1">
      <c r="A1060" s="313" t="s">
        <v>1069</v>
      </c>
      <c r="B1060" s="314">
        <f>B1057-B1058+B1059</f>
        <v>0</v>
      </c>
      <c r="C1060" s="315">
        <f>C1057-C1058+C1059</f>
        <v>0</v>
      </c>
      <c r="D1060" s="316">
        <f>VALUE(D1057-D1058+D1059)</f>
        <v>4.330649971961975E-08</v>
      </c>
      <c r="E1060" s="317" t="s">
        <v>1070</v>
      </c>
      <c r="F1060" s="311">
        <f t="shared" si="66"/>
        <v>1045</v>
      </c>
      <c r="G1060" s="290" t="s">
        <v>1068</v>
      </c>
      <c r="H1060" s="287">
        <f>SUM(H1057+H1045+H1049+H1039)</f>
        <v>14775200</v>
      </c>
      <c r="I1060" s="287">
        <f>SUM(I1057+I1045+I1049+I1039)</f>
        <v>15931400</v>
      </c>
      <c r="J1060" s="318">
        <f>SUM(J1039+J1045+J1049+J1057)</f>
        <v>412784.109999998</v>
      </c>
      <c r="K1060" s="361">
        <f>J1060/I1060*100</f>
        <v>2.591009641337221</v>
      </c>
    </row>
    <row r="1061" spans="1:11" ht="15.75" thickBot="1">
      <c r="A1061" s="319" t="s">
        <v>1071</v>
      </c>
      <c r="B1061" s="320"/>
      <c r="C1061" s="320"/>
      <c r="D1061" s="320"/>
      <c r="E1061" s="320"/>
      <c r="F1061" s="321"/>
      <c r="G1061" s="322"/>
      <c r="H1061" s="322"/>
      <c r="I1061" s="322"/>
      <c r="J1061" s="322"/>
      <c r="K1061" s="322"/>
    </row>
    <row r="1063" spans="7:9" ht="15">
      <c r="G1063" s="159"/>
      <c r="I1063" s="160"/>
    </row>
    <row r="1064" spans="7:9" ht="15">
      <c r="G1064" s="159"/>
      <c r="I1064" s="160"/>
    </row>
    <row r="1065" ht="15">
      <c r="G1065" s="159"/>
    </row>
    <row r="1066" ht="15">
      <c r="G1066" s="159"/>
    </row>
    <row r="1067" ht="15">
      <c r="G1067" s="159"/>
    </row>
    <row r="1068" ht="15">
      <c r="G1068" s="159"/>
    </row>
    <row r="1069" ht="15">
      <c r="G1069" s="159"/>
    </row>
  </sheetData>
  <sheetProtection/>
  <mergeCells count="20">
    <mergeCell ref="B1045:C1045"/>
    <mergeCell ref="A1:K1"/>
    <mergeCell ref="A2:K2"/>
    <mergeCell ref="A8:B8"/>
    <mergeCell ref="B14:E14"/>
    <mergeCell ref="H14:K14"/>
    <mergeCell ref="H1037:K1037"/>
    <mergeCell ref="B1038:C1038"/>
    <mergeCell ref="B1039:C1039"/>
    <mergeCell ref="B1040:C1040"/>
    <mergeCell ref="B1041:C1041"/>
    <mergeCell ref="B1042:C1042"/>
    <mergeCell ref="B1052:C1052"/>
    <mergeCell ref="B1055:E1055"/>
    <mergeCell ref="B1046:C1046"/>
    <mergeCell ref="B1047:C1047"/>
    <mergeCell ref="B1048:C1048"/>
    <mergeCell ref="B1049:C1049"/>
    <mergeCell ref="B1050:C1050"/>
    <mergeCell ref="B1051:C1051"/>
  </mergeCells>
  <conditionalFormatting sqref="E1015">
    <cfRule type="cellIs" priority="2" dxfId="0" operator="greaterThan" stopIfTrue="1">
      <formula>101</formula>
    </cfRule>
  </conditionalFormatting>
  <printOptions/>
  <pageMargins left="0.5118110236220472" right="0.31496062992125984" top="0.5905511811023623" bottom="0.5905511811023623" header="0.31496062992125984" footer="0.31496062992125984"/>
  <pageSetup cellComments="asDisplayed" horizontalDpi="300" verticalDpi="300" orientation="landscape" paperSize="9" scale="54" r:id="rId3"/>
  <headerFooter>
    <oddFooter>&amp;CStránka &amp;P z &amp;N</oddFooter>
  </headerFooter>
  <rowBreaks count="17" manualBreakCount="17">
    <brk id="63" max="10" man="1"/>
    <brk id="123" max="10" man="1"/>
    <brk id="183" max="10" man="1"/>
    <brk id="243" max="10" man="1"/>
    <brk id="304" max="10" man="1"/>
    <brk id="366" max="10" man="1"/>
    <brk id="428" max="10" man="1"/>
    <brk id="490" max="10" man="1"/>
    <brk id="551" max="10" man="1"/>
    <brk id="612" max="10" man="1"/>
    <brk id="673" max="10" man="1"/>
    <brk id="734" max="10" man="1"/>
    <brk id="796" max="10" man="1"/>
    <brk id="857" max="10" man="1"/>
    <brk id="918" max="10" man="1"/>
    <brk id="979" max="10" man="1"/>
    <brk id="1023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jana.panochova</dc:creator>
  <cp:keywords/>
  <dc:description/>
  <cp:lastModifiedBy>Zdeněk Štursa</cp:lastModifiedBy>
  <cp:lastPrinted>2016-02-04T08:07:31Z</cp:lastPrinted>
  <dcterms:created xsi:type="dcterms:W3CDTF">2015-12-09T12:58:25Z</dcterms:created>
  <dcterms:modified xsi:type="dcterms:W3CDTF">2016-02-08T09:09:47Z</dcterms:modified>
  <cp:category/>
  <cp:version/>
  <cp:contentType/>
  <cp:contentStatus/>
</cp:coreProperties>
</file>